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codeName="ThisWorkbook" defaultThemeVersion="124226"/>
  <mc:AlternateContent xmlns:mc="http://schemas.openxmlformats.org/markup-compatibility/2006">
    <mc:Choice Requires="x15">
      <x15ac:absPath xmlns:x15ac="http://schemas.microsoft.com/office/spreadsheetml/2010/11/ac" url="J:\GoP\Park\02 Kvalitet\Teknisk handbok\rev 2025\"/>
    </mc:Choice>
  </mc:AlternateContent>
  <xr:revisionPtr revIDLastSave="0" documentId="8_{C684583C-C1AC-4EA4-96D6-C085609AA5C7}" xr6:coauthVersionLast="47" xr6:coauthVersionMax="47" xr10:uidLastSave="{00000000-0000-0000-0000-000000000000}"/>
  <bookViews>
    <workbookView xWindow="31500" yWindow="1875" windowWidth="21600" windowHeight="11175" tabRatio="855" firstSheet="2" activeTab="2" xr2:uid="{00000000-000D-0000-FFFF-FFFF00000000}"/>
  </bookViews>
  <sheets>
    <sheet name="Uträkning av ersättningsvärde" sheetId="4" r:id="rId1"/>
    <sheet name="Formler" sheetId="3" r:id="rId2"/>
    <sheet name="Formulär enstaka träd" sheetId="5" r:id="rId3"/>
  </sheets>
  <definedNames>
    <definedName name="Area">'Formulär enstaka träd'!$D$15</definedName>
    <definedName name="area1214">'Formulär enstaka träd'!$D$11</definedName>
    <definedName name="basvärde">'Formulär enstaka träd'!$D$9</definedName>
    <definedName name="diam1214">'Formulär enstaka träd'!$D$10</definedName>
    <definedName name="EUR">Formler!$C$2</definedName>
    <definedName name="gatuträdetabl">'Formulär enstaka träd'!$D$27</definedName>
    <definedName name="Kostnad_per_kvcm_etabl">'Formulär enstaka träd'!$D$26</definedName>
    <definedName name="kvadratcmpris">'Formulär enstaka träd'!$D$12</definedName>
    <definedName name="planteringetableringkostnad">'Formulär enstaka träd'!$D$37</definedName>
    <definedName name="skadorvitalitet">'Formulär enstaka träd'!$D$23</definedName>
    <definedName name="Stamomkrets">'Formulär enstaka träd'!$D$14</definedName>
    <definedName name="summaskador">'Formulär enstaka träd'!$D$23</definedName>
    <definedName name="Trädets_värde">'Formulär enstaka träd'!$D$16</definedName>
    <definedName name="övrigmarketabl">'Formulär enstaka träd'!$D$28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7" i="3" l="1"/>
  <c r="D137" i="3" s="1"/>
  <c r="E137" i="3"/>
  <c r="F136" i="3"/>
  <c r="D136" i="3" s="1"/>
  <c r="E136" i="3"/>
  <c r="F135" i="3"/>
  <c r="E135" i="3"/>
  <c r="F134" i="3"/>
  <c r="D134" i="3" s="1"/>
  <c r="E134" i="3"/>
  <c r="F133" i="3"/>
  <c r="E133" i="3"/>
  <c r="F132" i="3"/>
  <c r="E132" i="3"/>
  <c r="O132" i="3" s="1"/>
  <c r="F131" i="3"/>
  <c r="E131" i="3"/>
  <c r="O131" i="3" s="1"/>
  <c r="F130" i="3"/>
  <c r="E130" i="3"/>
  <c r="F129" i="3"/>
  <c r="E129" i="3"/>
  <c r="F128" i="3"/>
  <c r="E128" i="3"/>
  <c r="Q128" i="3"/>
  <c r="R128" i="3"/>
  <c r="Q129" i="3"/>
  <c r="R129" i="3"/>
  <c r="Q130" i="3"/>
  <c r="R130" i="3"/>
  <c r="Q131" i="3"/>
  <c r="R131" i="3"/>
  <c r="Q132" i="3"/>
  <c r="R132" i="3"/>
  <c r="Q133" i="3"/>
  <c r="R133" i="3"/>
  <c r="Q134" i="3"/>
  <c r="R134" i="3"/>
  <c r="Q135" i="3"/>
  <c r="R135" i="3"/>
  <c r="Q136" i="3"/>
  <c r="R136" i="3"/>
  <c r="Q137" i="3"/>
  <c r="R137" i="3"/>
  <c r="O133" i="3"/>
  <c r="O134" i="3"/>
  <c r="O135" i="3"/>
  <c r="D130" i="3"/>
  <c r="D133" i="3"/>
  <c r="D135" i="3"/>
  <c r="Q116" i="3"/>
  <c r="R116" i="3"/>
  <c r="Q117" i="3"/>
  <c r="R117" i="3"/>
  <c r="Q118" i="3"/>
  <c r="R118" i="3"/>
  <c r="Q119" i="3"/>
  <c r="R119" i="3"/>
  <c r="O120" i="3"/>
  <c r="Q120" i="3"/>
  <c r="R120" i="3"/>
  <c r="Q121" i="3"/>
  <c r="R121" i="3"/>
  <c r="Q122" i="3"/>
  <c r="R122" i="3"/>
  <c r="Q123" i="3"/>
  <c r="R123" i="3"/>
  <c r="O124" i="3"/>
  <c r="Q124" i="3"/>
  <c r="R124" i="3"/>
  <c r="Q125" i="3"/>
  <c r="R125" i="3"/>
  <c r="O126" i="3"/>
  <c r="Q126" i="3"/>
  <c r="R126" i="3"/>
  <c r="Q127" i="3"/>
  <c r="R127" i="3"/>
  <c r="D128" i="3" l="1"/>
  <c r="O130" i="3"/>
  <c r="O129" i="3"/>
  <c r="O137" i="3"/>
  <c r="O136" i="3"/>
  <c r="D132" i="3"/>
  <c r="D131" i="3"/>
  <c r="D129" i="3"/>
  <c r="O128" i="3"/>
  <c r="O9" i="3" l="1"/>
  <c r="O12" i="3"/>
  <c r="O14" i="3"/>
  <c r="O22" i="3"/>
  <c r="O29" i="3"/>
  <c r="O32" i="3"/>
  <c r="O35" i="3"/>
  <c r="O44" i="3"/>
  <c r="O49" i="3"/>
  <c r="O73" i="3"/>
  <c r="O85" i="3"/>
  <c r="O89" i="3"/>
  <c r="O92" i="3"/>
  <c r="O93" i="3"/>
  <c r="O99" i="3"/>
  <c r="O101" i="3"/>
  <c r="O104" i="3"/>
  <c r="O106" i="3"/>
  <c r="O110" i="3"/>
  <c r="O112" i="3"/>
  <c r="D9" i="3"/>
  <c r="D12" i="3"/>
  <c r="D14" i="3"/>
  <c r="D22" i="3"/>
  <c r="D29" i="3"/>
  <c r="D32" i="3"/>
  <c r="D35" i="3"/>
  <c r="D44" i="3"/>
  <c r="D49" i="3"/>
  <c r="D73" i="3"/>
  <c r="D85" i="3"/>
  <c r="D89" i="3"/>
  <c r="D92" i="3"/>
  <c r="D93" i="3"/>
  <c r="D99" i="3"/>
  <c r="D101" i="3"/>
  <c r="D104" i="3"/>
  <c r="D106" i="3"/>
  <c r="D110" i="3"/>
  <c r="D112" i="3"/>
  <c r="D120" i="3"/>
  <c r="D124" i="3"/>
  <c r="D126" i="3"/>
  <c r="E8" i="3"/>
  <c r="E10" i="3"/>
  <c r="E11" i="3"/>
  <c r="E13" i="3"/>
  <c r="E15" i="3"/>
  <c r="E16" i="3"/>
  <c r="E17" i="3"/>
  <c r="E18" i="3"/>
  <c r="E20" i="3"/>
  <c r="E21" i="3"/>
  <c r="D21" i="3" s="1"/>
  <c r="E23" i="3"/>
  <c r="E24" i="3"/>
  <c r="E25" i="3"/>
  <c r="E26" i="3"/>
  <c r="E27" i="3"/>
  <c r="E28" i="3"/>
  <c r="E30" i="3"/>
  <c r="O30" i="3" s="1"/>
  <c r="E31" i="3"/>
  <c r="E33" i="3"/>
  <c r="E34" i="3"/>
  <c r="E36" i="3"/>
  <c r="E37" i="3"/>
  <c r="E38" i="3"/>
  <c r="E39" i="3"/>
  <c r="E40" i="3"/>
  <c r="O40" i="3" s="1"/>
  <c r="E41" i="3"/>
  <c r="E42" i="3"/>
  <c r="E43" i="3"/>
  <c r="E45" i="3"/>
  <c r="E48" i="3"/>
  <c r="E50" i="3"/>
  <c r="E51" i="3"/>
  <c r="D51" i="3" s="1"/>
  <c r="E52" i="3"/>
  <c r="E53" i="3"/>
  <c r="E54" i="3"/>
  <c r="D54" i="3" s="1"/>
  <c r="E55" i="3"/>
  <c r="E56" i="3"/>
  <c r="E57" i="3"/>
  <c r="E58" i="3"/>
  <c r="E59" i="3"/>
  <c r="E60" i="3"/>
  <c r="E61" i="3"/>
  <c r="E62" i="3"/>
  <c r="E63" i="3"/>
  <c r="E64" i="3"/>
  <c r="O64" i="3" s="1"/>
  <c r="E65" i="3"/>
  <c r="O65" i="3" s="1"/>
  <c r="E66" i="3"/>
  <c r="E67" i="3"/>
  <c r="E68" i="3"/>
  <c r="E69" i="3"/>
  <c r="E70" i="3"/>
  <c r="E71" i="3"/>
  <c r="E72" i="3"/>
  <c r="E74" i="3"/>
  <c r="E75" i="3"/>
  <c r="E76" i="3"/>
  <c r="E77" i="3"/>
  <c r="E78" i="3"/>
  <c r="E79" i="3"/>
  <c r="E80" i="3"/>
  <c r="E81" i="3"/>
  <c r="E82" i="3"/>
  <c r="E83" i="3"/>
  <c r="E84" i="3"/>
  <c r="E86" i="3"/>
  <c r="E87" i="3"/>
  <c r="E88" i="3"/>
  <c r="E90" i="3"/>
  <c r="O90" i="3" s="1"/>
  <c r="E91" i="3"/>
  <c r="D91" i="3" s="1"/>
  <c r="E94" i="3"/>
  <c r="E95" i="3"/>
  <c r="E96" i="3"/>
  <c r="E97" i="3"/>
  <c r="E98" i="3"/>
  <c r="E100" i="3"/>
  <c r="E102" i="3"/>
  <c r="E103" i="3"/>
  <c r="E105" i="3"/>
  <c r="E107" i="3"/>
  <c r="E108" i="3"/>
  <c r="E109" i="3"/>
  <c r="E111" i="3"/>
  <c r="E113" i="3"/>
  <c r="E114" i="3"/>
  <c r="E115" i="3"/>
  <c r="E116" i="3"/>
  <c r="E117" i="3"/>
  <c r="E118" i="3"/>
  <c r="E119" i="3"/>
  <c r="E121" i="3"/>
  <c r="E122" i="3"/>
  <c r="E123" i="3"/>
  <c r="E7" i="3"/>
  <c r="F8" i="3"/>
  <c r="F10" i="3"/>
  <c r="F11" i="3"/>
  <c r="F13" i="3"/>
  <c r="F15" i="3"/>
  <c r="F16" i="3"/>
  <c r="F17" i="3"/>
  <c r="F18" i="3"/>
  <c r="F19" i="3"/>
  <c r="D19" i="3" s="1"/>
  <c r="F20" i="3"/>
  <c r="F23" i="3"/>
  <c r="O23" i="3" s="1"/>
  <c r="F24" i="3"/>
  <c r="F25" i="3"/>
  <c r="F26" i="3"/>
  <c r="F27" i="3"/>
  <c r="F28" i="3"/>
  <c r="F31" i="3"/>
  <c r="F33" i="3"/>
  <c r="F34" i="3"/>
  <c r="F36" i="3"/>
  <c r="F37" i="3"/>
  <c r="F38" i="3"/>
  <c r="F39" i="3"/>
  <c r="O39" i="3" s="1"/>
  <c r="F41" i="3"/>
  <c r="F42" i="3"/>
  <c r="F43" i="3"/>
  <c r="F45" i="3"/>
  <c r="F46" i="3"/>
  <c r="O46" i="3" s="1"/>
  <c r="F47" i="3"/>
  <c r="O47" i="3" s="1"/>
  <c r="F48" i="3"/>
  <c r="F50" i="3"/>
  <c r="D50" i="3" s="1"/>
  <c r="F52" i="3"/>
  <c r="F53" i="3"/>
  <c r="F55" i="3"/>
  <c r="F56" i="3"/>
  <c r="F57" i="3"/>
  <c r="F58" i="3"/>
  <c r="F59" i="3"/>
  <c r="F60" i="3"/>
  <c r="F61" i="3"/>
  <c r="F62" i="3"/>
  <c r="F63" i="3"/>
  <c r="F66" i="3"/>
  <c r="D66" i="3" s="1"/>
  <c r="F67" i="3"/>
  <c r="F68" i="3"/>
  <c r="F69" i="3"/>
  <c r="F70" i="3"/>
  <c r="F71" i="3"/>
  <c r="F72" i="3"/>
  <c r="F74" i="3"/>
  <c r="F75" i="3"/>
  <c r="F76" i="3"/>
  <c r="F77" i="3"/>
  <c r="F78" i="3"/>
  <c r="F79" i="3"/>
  <c r="F80" i="3"/>
  <c r="F81" i="3"/>
  <c r="F82" i="3"/>
  <c r="F83" i="3"/>
  <c r="F84" i="3"/>
  <c r="F86" i="3"/>
  <c r="F87" i="3"/>
  <c r="F88" i="3"/>
  <c r="F94" i="3"/>
  <c r="F95" i="3"/>
  <c r="F96" i="3"/>
  <c r="F97" i="3"/>
  <c r="F98" i="3"/>
  <c r="F100" i="3"/>
  <c r="F102" i="3"/>
  <c r="F103" i="3"/>
  <c r="F105" i="3"/>
  <c r="F107" i="3"/>
  <c r="F108" i="3"/>
  <c r="F109" i="3"/>
  <c r="F111" i="3"/>
  <c r="F113" i="3"/>
  <c r="D113" i="3" s="1"/>
  <c r="F114" i="3"/>
  <c r="F115" i="3"/>
  <c r="F116" i="3"/>
  <c r="F117" i="3"/>
  <c r="F118" i="3"/>
  <c r="F119" i="3"/>
  <c r="F121" i="3"/>
  <c r="F122" i="3"/>
  <c r="D122" i="3" s="1"/>
  <c r="F125" i="3"/>
  <c r="F127" i="3"/>
  <c r="F7" i="3"/>
  <c r="O116" i="3" l="1"/>
  <c r="D58" i="3"/>
  <c r="O70" i="3"/>
  <c r="O38" i="3"/>
  <c r="O121" i="3"/>
  <c r="D57" i="3"/>
  <c r="O119" i="3"/>
  <c r="D127" i="3"/>
  <c r="O127" i="3"/>
  <c r="D123" i="3"/>
  <c r="O123" i="3"/>
  <c r="O118" i="3"/>
  <c r="O114" i="3"/>
  <c r="O102" i="3"/>
  <c r="D63" i="3"/>
  <c r="D55" i="3"/>
  <c r="D43" i="3"/>
  <c r="O34" i="3"/>
  <c r="D125" i="3"/>
  <c r="O125" i="3"/>
  <c r="D26" i="3"/>
  <c r="O122" i="3"/>
  <c r="O117" i="3"/>
  <c r="O62" i="3"/>
  <c r="D42" i="3"/>
  <c r="D25" i="3"/>
  <c r="O15" i="3"/>
  <c r="O79" i="3"/>
  <c r="D121" i="3"/>
  <c r="O87" i="3"/>
  <c r="D78" i="3"/>
  <c r="D69" i="3"/>
  <c r="D53" i="3"/>
  <c r="D119" i="3"/>
  <c r="D109" i="3"/>
  <c r="O97" i="3"/>
  <c r="D33" i="3"/>
  <c r="D82" i="3"/>
  <c r="O54" i="3"/>
  <c r="O103" i="3"/>
  <c r="O81" i="3"/>
  <c r="O72" i="3"/>
  <c r="O56" i="3"/>
  <c r="D45" i="3"/>
  <c r="D86" i="3"/>
  <c r="D68" i="3"/>
  <c r="D52" i="3"/>
  <c r="D118" i="3"/>
  <c r="D108" i="3"/>
  <c r="O96" i="3"/>
  <c r="D84" i="3"/>
  <c r="D76" i="3"/>
  <c r="D67" i="3"/>
  <c r="D59" i="3"/>
  <c r="D39" i="3"/>
  <c r="D28" i="3"/>
  <c r="O18" i="3"/>
  <c r="O63" i="3"/>
  <c r="D117" i="3"/>
  <c r="D107" i="3"/>
  <c r="D95" i="3"/>
  <c r="D83" i="3"/>
  <c r="D75" i="3"/>
  <c r="O66" i="3"/>
  <c r="O58" i="3"/>
  <c r="O50" i="3"/>
  <c r="D38" i="3"/>
  <c r="D27" i="3"/>
  <c r="O17" i="3"/>
  <c r="D81" i="3"/>
  <c r="D18" i="3"/>
  <c r="D116" i="3"/>
  <c r="O105" i="3"/>
  <c r="D94" i="3"/>
  <c r="O82" i="3"/>
  <c r="O74" i="3"/>
  <c r="O57" i="3"/>
  <c r="O48" i="3"/>
  <c r="D37" i="3"/>
  <c r="O26" i="3"/>
  <c r="O16" i="3"/>
  <c r="D74" i="3"/>
  <c r="D17" i="3"/>
  <c r="O55" i="3"/>
  <c r="O7" i="3"/>
  <c r="D115" i="3"/>
  <c r="D103" i="3"/>
  <c r="D36" i="3"/>
  <c r="O25" i="3"/>
  <c r="D15" i="3"/>
  <c r="D114" i="3"/>
  <c r="D34" i="3"/>
  <c r="O80" i="3"/>
  <c r="O24" i="3"/>
  <c r="D13" i="3"/>
  <c r="D71" i="3"/>
  <c r="D102" i="3"/>
  <c r="O113" i="3"/>
  <c r="D100" i="3"/>
  <c r="O88" i="3"/>
  <c r="D79" i="3"/>
  <c r="D70" i="3"/>
  <c r="D62" i="3"/>
  <c r="O42" i="3"/>
  <c r="O33" i="3"/>
  <c r="D23" i="3"/>
  <c r="D11" i="3"/>
  <c r="D90" i="3"/>
  <c r="D65" i="3"/>
  <c r="O111" i="3"/>
  <c r="O98" i="3"/>
  <c r="D61" i="3"/>
  <c r="O41" i="3"/>
  <c r="O31" i="3"/>
  <c r="D10" i="3"/>
  <c r="O95" i="3"/>
  <c r="O71" i="3"/>
  <c r="D77" i="3"/>
  <c r="D60" i="3"/>
  <c r="D20" i="3"/>
  <c r="O8" i="3"/>
  <c r="D105" i="3"/>
  <c r="O94" i="3"/>
  <c r="D98" i="3"/>
  <c r="O78" i="3"/>
  <c r="D7" i="3"/>
  <c r="D96" i="3"/>
  <c r="D88" i="3"/>
  <c r="D80" i="3"/>
  <c r="D72" i="3"/>
  <c r="D64" i="3"/>
  <c r="D56" i="3"/>
  <c r="D48" i="3"/>
  <c r="D40" i="3"/>
  <c r="D24" i="3"/>
  <c r="D16" i="3"/>
  <c r="D8" i="3"/>
  <c r="O109" i="3"/>
  <c r="O77" i="3"/>
  <c r="O69" i="3"/>
  <c r="O61" i="3"/>
  <c r="O53" i="3"/>
  <c r="O45" i="3"/>
  <c r="O37" i="3"/>
  <c r="O21" i="3"/>
  <c r="O13" i="3"/>
  <c r="O86" i="3"/>
  <c r="D111" i="3"/>
  <c r="D87" i="3"/>
  <c r="D47" i="3"/>
  <c r="D31" i="3"/>
  <c r="O108" i="3"/>
  <c r="O100" i="3"/>
  <c r="O84" i="3"/>
  <c r="O76" i="3"/>
  <c r="O68" i="3"/>
  <c r="O60" i="3"/>
  <c r="O52" i="3"/>
  <c r="O36" i="3"/>
  <c r="O28" i="3"/>
  <c r="O20" i="3"/>
  <c r="D46" i="3"/>
  <c r="D30" i="3"/>
  <c r="O115" i="3"/>
  <c r="O107" i="3"/>
  <c r="O91" i="3"/>
  <c r="O83" i="3"/>
  <c r="O75" i="3"/>
  <c r="O67" i="3"/>
  <c r="O59" i="3"/>
  <c r="O51" i="3"/>
  <c r="O43" i="3"/>
  <c r="O27" i="3"/>
  <c r="O19" i="3"/>
  <c r="O11" i="3"/>
  <c r="D97" i="3"/>
  <c r="D41" i="3"/>
  <c r="O10" i="3"/>
  <c r="D7" i="5"/>
  <c r="D23" i="5"/>
  <c r="D36" i="5" s="1"/>
  <c r="D15" i="5"/>
  <c r="D10" i="5"/>
  <c r="D11" i="5" s="1"/>
  <c r="S117" i="3" l="1"/>
  <c r="S127" i="3"/>
  <c r="F32" i="5"/>
  <c r="F31" i="5"/>
  <c r="D37" i="5"/>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C3" i="3"/>
  <c r="S118" i="3" s="1"/>
  <c r="S125" i="3" l="1"/>
  <c r="S123" i="3"/>
  <c r="S119" i="3"/>
  <c r="S130" i="3"/>
  <c r="S136" i="3"/>
  <c r="S137" i="3"/>
  <c r="S135" i="3"/>
  <c r="S133" i="3"/>
  <c r="S128" i="3"/>
  <c r="S134" i="3"/>
  <c r="S132" i="3"/>
  <c r="S129" i="3"/>
  <c r="S131" i="3"/>
  <c r="S122" i="3"/>
  <c r="S126" i="3"/>
  <c r="S120" i="3"/>
  <c r="S124" i="3"/>
  <c r="S121" i="3"/>
  <c r="S116" i="3"/>
  <c r="S87" i="3"/>
  <c r="S21" i="3"/>
  <c r="S90" i="3"/>
  <c r="S81" i="3"/>
  <c r="S32" i="3"/>
  <c r="S59" i="3"/>
  <c r="S13" i="3"/>
  <c r="S30" i="3"/>
  <c r="S96" i="3"/>
  <c r="S71" i="3"/>
  <c r="S97" i="3"/>
  <c r="S99" i="3"/>
  <c r="S70" i="3"/>
  <c r="S74" i="3"/>
  <c r="S14" i="3"/>
  <c r="S41" i="3"/>
  <c r="S112" i="3"/>
  <c r="S37" i="3"/>
  <c r="S28" i="3"/>
  <c r="S42" i="3"/>
  <c r="S55" i="3"/>
  <c r="S9" i="3"/>
  <c r="S33" i="3"/>
  <c r="S51" i="3"/>
  <c r="S62" i="3"/>
  <c r="S38" i="3"/>
  <c r="S73" i="3"/>
  <c r="S11" i="3"/>
  <c r="S18" i="3"/>
  <c r="S29" i="3"/>
  <c r="S56" i="3"/>
  <c r="S80" i="3"/>
  <c r="S12" i="3"/>
  <c r="S16" i="3"/>
  <c r="S107" i="3"/>
  <c r="S8" i="3"/>
  <c r="S47" i="3"/>
  <c r="S54" i="3"/>
  <c r="S60" i="3"/>
  <c r="S10" i="3"/>
  <c r="S35" i="3"/>
  <c r="S49" i="3"/>
  <c r="S63" i="3"/>
  <c r="S93" i="3"/>
  <c r="S94" i="3"/>
  <c r="S26" i="3"/>
  <c r="S27" i="3"/>
  <c r="S43" i="3"/>
  <c r="S45" i="3"/>
  <c r="S75" i="3"/>
  <c r="S77" i="3"/>
  <c r="S84" i="3"/>
  <c r="S85" i="3"/>
  <c r="S86" i="3"/>
  <c r="S98" i="3"/>
  <c r="S19" i="3"/>
  <c r="S20" i="3"/>
  <c r="S22" i="3"/>
  <c r="S23" i="3"/>
  <c r="S24" i="3"/>
  <c r="S25" i="3"/>
  <c r="S31" i="3"/>
  <c r="S39" i="3"/>
  <c r="S40" i="3"/>
  <c r="S46" i="3"/>
  <c r="S48" i="3"/>
  <c r="S50" i="3"/>
  <c r="S68" i="3"/>
  <c r="S72" i="3"/>
  <c r="S76" i="3"/>
  <c r="S82" i="3"/>
  <c r="S100" i="3"/>
  <c r="S101" i="3"/>
  <c r="S102" i="3"/>
  <c r="S104" i="3"/>
  <c r="S106" i="3"/>
  <c r="S115" i="3"/>
  <c r="S61" i="3"/>
  <c r="S66" i="3"/>
  <c r="S67" i="3"/>
  <c r="S69" i="3"/>
  <c r="S79" i="3"/>
  <c r="S83" i="3"/>
  <c r="S103" i="3"/>
  <c r="S105" i="3"/>
  <c r="S110" i="3"/>
  <c r="S111" i="3"/>
  <c r="S113" i="3"/>
  <c r="S114" i="3"/>
  <c r="S15" i="3"/>
  <c r="S17" i="3"/>
  <c r="S34" i="3"/>
  <c r="S36" i="3"/>
  <c r="S44" i="3"/>
  <c r="S52" i="3"/>
  <c r="S53" i="3"/>
  <c r="S57" i="3"/>
  <c r="S58" i="3"/>
  <c r="S64" i="3"/>
  <c r="S65" i="3"/>
  <c r="S78" i="3"/>
  <c r="S88" i="3"/>
  <c r="S89" i="3"/>
  <c r="S91" i="3"/>
  <c r="S92" i="3"/>
  <c r="S95" i="3"/>
  <c r="S108" i="3"/>
  <c r="S109" i="3"/>
  <c r="G72"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4" i="4"/>
  <c r="S7" i="3" l="1"/>
  <c r="D9" i="5"/>
  <c r="D12" i="5" s="1"/>
  <c r="D16" i="5" s="1"/>
  <c r="D35" i="5" s="1"/>
  <c r="B7" i="4"/>
  <c r="C15" i="4"/>
  <c r="B15" i="4"/>
  <c r="C14" i="4"/>
  <c r="B14" i="4"/>
  <c r="D38" i="5" l="1"/>
  <c r="B5" i="4"/>
  <c r="C5" i="4"/>
  <c r="B6" i="4"/>
  <c r="C6" i="4"/>
  <c r="C7" i="4"/>
  <c r="B8" i="4"/>
  <c r="C8" i="4"/>
  <c r="B9" i="4"/>
  <c r="C9" i="4"/>
  <c r="B10" i="4"/>
  <c r="C10" i="4"/>
  <c r="B11" i="4"/>
  <c r="C11" i="4"/>
  <c r="B12" i="4"/>
  <c r="C12" i="4"/>
  <c r="B13" i="4"/>
  <c r="C13"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B43" i="4"/>
  <c r="C43" i="4"/>
  <c r="B44" i="4"/>
  <c r="C44" i="4"/>
  <c r="B45" i="4"/>
  <c r="C45" i="4"/>
  <c r="B46" i="4"/>
  <c r="C46" i="4"/>
  <c r="B47" i="4"/>
  <c r="C47" i="4"/>
  <c r="B48" i="4"/>
  <c r="C48" i="4"/>
  <c r="B49" i="4"/>
  <c r="C49" i="4"/>
  <c r="B50" i="4"/>
  <c r="C50" i="4"/>
  <c r="B51" i="4"/>
  <c r="C51" i="4"/>
  <c r="B52" i="4"/>
  <c r="C52" i="4"/>
  <c r="B53" i="4"/>
  <c r="C53" i="4"/>
  <c r="B54" i="4"/>
  <c r="C54" i="4"/>
  <c r="B55" i="4"/>
  <c r="C55" i="4"/>
  <c r="B56" i="4"/>
  <c r="C56" i="4"/>
  <c r="B57" i="4"/>
  <c r="C57" i="4"/>
  <c r="B58" i="4"/>
  <c r="C58" i="4"/>
  <c r="B59" i="4"/>
  <c r="C59" i="4"/>
  <c r="B60" i="4"/>
  <c r="C60" i="4"/>
  <c r="B61" i="4"/>
  <c r="C61" i="4"/>
  <c r="B62" i="4"/>
  <c r="C62" i="4"/>
  <c r="B63" i="4"/>
  <c r="C63" i="4"/>
  <c r="B64" i="4"/>
  <c r="C64" i="4"/>
  <c r="B65" i="4"/>
  <c r="C65" i="4"/>
  <c r="B66" i="4"/>
  <c r="C66" i="4"/>
  <c r="B67" i="4"/>
  <c r="C67" i="4"/>
  <c r="B68" i="4"/>
  <c r="C68" i="4"/>
  <c r="B69" i="4"/>
  <c r="C69" i="4"/>
  <c r="B70" i="4"/>
  <c r="C70" i="4"/>
  <c r="B71" i="4"/>
  <c r="C71" i="4"/>
  <c r="B72" i="4"/>
  <c r="C72" i="4"/>
  <c r="C4" i="4"/>
  <c r="B4" i="4"/>
  <c r="E62" i="4" l="1"/>
  <c r="J62" i="4"/>
  <c r="O62" i="4"/>
  <c r="E63" i="4"/>
  <c r="J63" i="4"/>
  <c r="O63" i="4"/>
  <c r="E64" i="4"/>
  <c r="J64" i="4"/>
  <c r="O64" i="4"/>
  <c r="E65" i="4"/>
  <c r="J65" i="4"/>
  <c r="O65" i="4"/>
  <c r="E66" i="4"/>
  <c r="J66" i="4"/>
  <c r="O66" i="4"/>
  <c r="E67" i="4"/>
  <c r="J67" i="4"/>
  <c r="O67" i="4"/>
  <c r="E68" i="4"/>
  <c r="J68" i="4"/>
  <c r="O68" i="4"/>
  <c r="E69" i="4"/>
  <c r="J69" i="4"/>
  <c r="O69" i="4"/>
  <c r="E70" i="4"/>
  <c r="J70" i="4"/>
  <c r="O70" i="4"/>
  <c r="E71" i="4"/>
  <c r="J71" i="4"/>
  <c r="O71" i="4"/>
  <c r="E72" i="4"/>
  <c r="J72" i="4"/>
  <c r="O72" i="4"/>
  <c r="E33" i="4"/>
  <c r="J33" i="4"/>
  <c r="O33" i="4"/>
  <c r="E34" i="4"/>
  <c r="J34" i="4"/>
  <c r="O34" i="4"/>
  <c r="E35" i="4"/>
  <c r="J35" i="4"/>
  <c r="O35" i="4"/>
  <c r="E36" i="4"/>
  <c r="J36" i="4"/>
  <c r="O36" i="4"/>
  <c r="E37" i="4"/>
  <c r="J37" i="4"/>
  <c r="O37" i="4"/>
  <c r="E38" i="4"/>
  <c r="J38" i="4"/>
  <c r="O38" i="4"/>
  <c r="E39" i="4"/>
  <c r="J39" i="4"/>
  <c r="O39" i="4"/>
  <c r="E40" i="4"/>
  <c r="J40" i="4"/>
  <c r="O40" i="4"/>
  <c r="E41" i="4"/>
  <c r="J41" i="4"/>
  <c r="O41" i="4"/>
  <c r="E42" i="4"/>
  <c r="J42" i="4"/>
  <c r="O42" i="4"/>
  <c r="E43" i="4"/>
  <c r="J43" i="4"/>
  <c r="O43" i="4"/>
  <c r="E44" i="4"/>
  <c r="J44" i="4"/>
  <c r="O44" i="4"/>
  <c r="E45" i="4"/>
  <c r="J45" i="4"/>
  <c r="O45" i="4"/>
  <c r="E46" i="4"/>
  <c r="J46" i="4"/>
  <c r="O46" i="4"/>
  <c r="E47" i="4"/>
  <c r="J47" i="4"/>
  <c r="O47" i="4"/>
  <c r="E48" i="4"/>
  <c r="J48" i="4"/>
  <c r="O48" i="4"/>
  <c r="E49" i="4"/>
  <c r="J49" i="4"/>
  <c r="O49" i="4"/>
  <c r="E50" i="4"/>
  <c r="J50" i="4"/>
  <c r="O50" i="4"/>
  <c r="E51" i="4"/>
  <c r="J51" i="4"/>
  <c r="O51" i="4"/>
  <c r="E52" i="4"/>
  <c r="J52" i="4"/>
  <c r="O52" i="4"/>
  <c r="E53" i="4"/>
  <c r="J53" i="4"/>
  <c r="O53" i="4"/>
  <c r="E54" i="4"/>
  <c r="J54" i="4"/>
  <c r="O54" i="4"/>
  <c r="E55" i="4"/>
  <c r="J55" i="4"/>
  <c r="O55" i="4"/>
  <c r="E56" i="4"/>
  <c r="J56" i="4"/>
  <c r="O56" i="4"/>
  <c r="E57" i="4"/>
  <c r="J57" i="4"/>
  <c r="O57" i="4"/>
  <c r="E58" i="4"/>
  <c r="J58" i="4"/>
  <c r="O58" i="4"/>
  <c r="E59" i="4"/>
  <c r="J59" i="4"/>
  <c r="O59" i="4"/>
  <c r="E60" i="4"/>
  <c r="J60" i="4"/>
  <c r="O60" i="4"/>
  <c r="E61" i="4"/>
  <c r="J61" i="4"/>
  <c r="O61" i="4"/>
  <c r="O32" i="4"/>
  <c r="J32" i="4"/>
  <c r="E32" i="4"/>
  <c r="O5" i="4"/>
  <c r="O6" i="4"/>
  <c r="O7" i="4"/>
  <c r="O8" i="4"/>
  <c r="O9" i="4"/>
  <c r="O10" i="4"/>
  <c r="O11" i="4"/>
  <c r="O12" i="4"/>
  <c r="O13" i="4"/>
  <c r="O14" i="4"/>
  <c r="O15" i="4"/>
  <c r="O16" i="4"/>
  <c r="O17" i="4"/>
  <c r="O18" i="4"/>
  <c r="O19" i="4"/>
  <c r="O20" i="4"/>
  <c r="O21" i="4"/>
  <c r="O22" i="4"/>
  <c r="O23" i="4"/>
  <c r="O24" i="4"/>
  <c r="O25" i="4"/>
  <c r="O26" i="4"/>
  <c r="O27" i="4"/>
  <c r="O28" i="4"/>
  <c r="O29" i="4"/>
  <c r="O30" i="4"/>
  <c r="O31" i="4"/>
  <c r="O4" i="4"/>
  <c r="E24" i="4"/>
  <c r="J24" i="4"/>
  <c r="E25" i="4"/>
  <c r="J25" i="4"/>
  <c r="E26" i="4"/>
  <c r="J26" i="4"/>
  <c r="E27" i="4"/>
  <c r="J27" i="4"/>
  <c r="E28" i="4"/>
  <c r="J28" i="4"/>
  <c r="E29" i="4"/>
  <c r="J29" i="4"/>
  <c r="E30" i="4"/>
  <c r="J30" i="4"/>
  <c r="E31" i="4"/>
  <c r="J31" i="4"/>
  <c r="J5" i="4"/>
  <c r="J6" i="4"/>
  <c r="J7" i="4"/>
  <c r="J8" i="4"/>
  <c r="J9" i="4"/>
  <c r="J10" i="4"/>
  <c r="J11" i="4"/>
  <c r="J12" i="4"/>
  <c r="J13" i="4"/>
  <c r="J14" i="4"/>
  <c r="J15" i="4"/>
  <c r="J16" i="4"/>
  <c r="J17" i="4"/>
  <c r="J18" i="4"/>
  <c r="J19" i="4"/>
  <c r="J20" i="4"/>
  <c r="J21" i="4"/>
  <c r="E22" i="4"/>
  <c r="J22" i="4"/>
  <c r="E23" i="4"/>
  <c r="J23" i="4"/>
  <c r="H51" i="4" l="1"/>
  <c r="P51" i="4" s="1"/>
  <c r="R51" i="4" s="1"/>
  <c r="H39" i="4"/>
  <c r="P39" i="4" s="1"/>
  <c r="R39" i="4" s="1"/>
  <c r="H35" i="4"/>
  <c r="P35" i="4" s="1"/>
  <c r="R35" i="4" s="1"/>
  <c r="H68" i="4"/>
  <c r="P68" i="4" s="1"/>
  <c r="R68" i="4" s="1"/>
  <c r="H49" i="4"/>
  <c r="P49" i="4" s="1"/>
  <c r="R49" i="4" s="1"/>
  <c r="H41" i="4"/>
  <c r="P41" i="4" s="1"/>
  <c r="R41" i="4" s="1"/>
  <c r="H71" i="4"/>
  <c r="P71" i="4" s="1"/>
  <c r="R71" i="4" s="1"/>
  <c r="H58" i="4"/>
  <c r="P58" i="4" s="1"/>
  <c r="R58" i="4" s="1"/>
  <c r="H48" i="4"/>
  <c r="P48" i="4" s="1"/>
  <c r="R48" i="4" s="1"/>
  <c r="H40" i="4"/>
  <c r="P40" i="4" s="1"/>
  <c r="R40" i="4" s="1"/>
  <c r="H34" i="4"/>
  <c r="P34" i="4" s="1"/>
  <c r="R34" i="4" s="1"/>
  <c r="H42" i="4"/>
  <c r="P42" i="4" s="1"/>
  <c r="R42" i="4" s="1"/>
  <c r="H50" i="4"/>
  <c r="P50" i="4" s="1"/>
  <c r="R50" i="4" s="1"/>
  <c r="H38" i="4"/>
  <c r="P38" i="4" s="1"/>
  <c r="R38" i="4" s="1"/>
  <c r="H61" i="4"/>
  <c r="P61" i="4" s="1"/>
  <c r="R61" i="4" s="1"/>
  <c r="H44" i="4"/>
  <c r="P44" i="4" s="1"/>
  <c r="R44" i="4" s="1"/>
  <c r="H33" i="4"/>
  <c r="P33" i="4" s="1"/>
  <c r="R33" i="4" s="1"/>
  <c r="H66" i="4"/>
  <c r="P66" i="4" s="1"/>
  <c r="R66" i="4" s="1"/>
  <c r="H64" i="4"/>
  <c r="P64" i="4" s="1"/>
  <c r="R64" i="4" s="1"/>
  <c r="H62" i="4"/>
  <c r="P62" i="4" s="1"/>
  <c r="R62" i="4" s="1"/>
  <c r="H59" i="4"/>
  <c r="P59" i="4" s="1"/>
  <c r="R59" i="4" s="1"/>
  <c r="H55" i="4"/>
  <c r="P55" i="4" s="1"/>
  <c r="R55" i="4" s="1"/>
  <c r="H47" i="4"/>
  <c r="P47" i="4" s="1"/>
  <c r="R47" i="4" s="1"/>
  <c r="H45" i="4"/>
  <c r="P45" i="4" s="1"/>
  <c r="R45" i="4" s="1"/>
  <c r="H37" i="4"/>
  <c r="P37" i="4" s="1"/>
  <c r="R37" i="4" s="1"/>
  <c r="H65" i="4"/>
  <c r="P65" i="4" s="1"/>
  <c r="R65" i="4" s="1"/>
  <c r="H72" i="4"/>
  <c r="P72" i="4" s="1"/>
  <c r="R72" i="4" s="1"/>
  <c r="H70" i="4"/>
  <c r="P70" i="4" s="1"/>
  <c r="R70" i="4" s="1"/>
  <c r="H69" i="4"/>
  <c r="P69" i="4" s="1"/>
  <c r="R69" i="4" s="1"/>
  <c r="H67" i="4"/>
  <c r="P67" i="4" s="1"/>
  <c r="R67" i="4" s="1"/>
  <c r="H63" i="4"/>
  <c r="P63" i="4" s="1"/>
  <c r="R63" i="4" s="1"/>
  <c r="H60" i="4"/>
  <c r="P60" i="4" s="1"/>
  <c r="R60" i="4" s="1"/>
  <c r="H57" i="4"/>
  <c r="P57" i="4" s="1"/>
  <c r="R57" i="4" s="1"/>
  <c r="H56" i="4"/>
  <c r="P56" i="4" s="1"/>
  <c r="R56" i="4" s="1"/>
  <c r="H54" i="4"/>
  <c r="P54" i="4" s="1"/>
  <c r="R54" i="4" s="1"/>
  <c r="H53" i="4"/>
  <c r="P53" i="4" s="1"/>
  <c r="R53" i="4" s="1"/>
  <c r="H52" i="4"/>
  <c r="P52" i="4" s="1"/>
  <c r="R52" i="4" s="1"/>
  <c r="H46" i="4"/>
  <c r="P46" i="4" s="1"/>
  <c r="R46" i="4" s="1"/>
  <c r="H43" i="4"/>
  <c r="P43" i="4" s="1"/>
  <c r="R43" i="4" s="1"/>
  <c r="H36" i="4"/>
  <c r="P36" i="4" s="1"/>
  <c r="R36" i="4" s="1"/>
  <c r="H32" i="4"/>
  <c r="P32" i="4" s="1"/>
  <c r="R32" i="4" s="1"/>
  <c r="H31" i="4"/>
  <c r="P31" i="4" s="1"/>
  <c r="R31" i="4" s="1"/>
  <c r="H24" i="4"/>
  <c r="P24" i="4" s="1"/>
  <c r="R24" i="4" s="1"/>
  <c r="H26" i="4"/>
  <c r="P26" i="4" s="1"/>
  <c r="R26" i="4" s="1"/>
  <c r="H28" i="4"/>
  <c r="P28" i="4" s="1"/>
  <c r="R28" i="4" s="1"/>
  <c r="H30" i="4"/>
  <c r="P30" i="4" s="1"/>
  <c r="R30" i="4" s="1"/>
  <c r="H29" i="4"/>
  <c r="P29" i="4" s="1"/>
  <c r="R29" i="4" s="1"/>
  <c r="H25" i="4"/>
  <c r="P25" i="4" s="1"/>
  <c r="R25" i="4" s="1"/>
  <c r="H23" i="4"/>
  <c r="P23" i="4" s="1"/>
  <c r="R23" i="4" s="1"/>
  <c r="H22" i="4"/>
  <c r="P22" i="4" s="1"/>
  <c r="R22" i="4" s="1"/>
  <c r="H27" i="4"/>
  <c r="P27" i="4" s="1"/>
  <c r="R27" i="4" s="1"/>
  <c r="J4" i="4"/>
  <c r="E20" i="4" l="1"/>
  <c r="H20" i="4" s="1"/>
  <c r="P20" i="4" s="1"/>
  <c r="R20" i="4" s="1"/>
  <c r="E11" i="4"/>
  <c r="H11" i="4" s="1"/>
  <c r="P11" i="4" s="1"/>
  <c r="R11" i="4" s="1"/>
  <c r="E17" i="4" l="1"/>
  <c r="H17" i="4" s="1"/>
  <c r="P17" i="4" s="1"/>
  <c r="R17" i="4" s="1"/>
  <c r="E16" i="4"/>
  <c r="H16" i="4" s="1"/>
  <c r="P16" i="4" s="1"/>
  <c r="R16" i="4" s="1"/>
  <c r="E9" i="4" l="1"/>
  <c r="H9" i="4" s="1"/>
  <c r="P9" i="4" s="1"/>
  <c r="R9" i="4" s="1"/>
  <c r="E7" i="4" l="1"/>
  <c r="H7" i="4" s="1"/>
  <c r="P7" i="4" s="1"/>
  <c r="R7" i="4" s="1"/>
  <c r="E4" i="4"/>
  <c r="H4" i="4" s="1"/>
  <c r="P4" i="4" s="1"/>
  <c r="R4" i="4" s="1"/>
  <c r="E15" i="4"/>
  <c r="H15" i="4" s="1"/>
  <c r="P15" i="4" s="1"/>
  <c r="R15" i="4" s="1"/>
  <c r="E14" i="4" l="1"/>
  <c r="H14" i="4" s="1"/>
  <c r="P14" i="4" s="1"/>
  <c r="R14" i="4" s="1"/>
  <c r="E10" i="4" l="1"/>
  <c r="H10" i="4" s="1"/>
  <c r="P10" i="4" s="1"/>
  <c r="R10" i="4" s="1"/>
  <c r="E13" i="4" l="1"/>
  <c r="H13" i="4" s="1"/>
  <c r="P13" i="4" s="1"/>
  <c r="R13" i="4" s="1"/>
  <c r="E19" i="4"/>
  <c r="H19" i="4" s="1"/>
  <c r="P19" i="4" s="1"/>
  <c r="R19" i="4" s="1"/>
  <c r="E18" i="4"/>
  <c r="H18" i="4" s="1"/>
  <c r="P18" i="4" s="1"/>
  <c r="R18" i="4" s="1"/>
  <c r="E21" i="4"/>
  <c r="H21" i="4" s="1"/>
  <c r="P21" i="4" s="1"/>
  <c r="R21" i="4" s="1"/>
  <c r="E5" i="4"/>
  <c r="H5" i="4" s="1"/>
  <c r="P5" i="4" s="1"/>
  <c r="R5" i="4" s="1"/>
  <c r="E6" i="4"/>
  <c r="H6" i="4" s="1"/>
  <c r="P6" i="4" s="1"/>
  <c r="R6" i="4" s="1"/>
  <c r="E8" i="4"/>
  <c r="H8" i="4" s="1"/>
  <c r="P8" i="4" s="1"/>
  <c r="R8" i="4" s="1"/>
  <c r="E12" i="4"/>
  <c r="H12" i="4" s="1"/>
  <c r="P12" i="4" s="1"/>
  <c r="R12" i="4" s="1"/>
  <c r="R74" i="4" l="1"/>
  <c r="P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 Mladoniczky</author>
    <author>Johan</author>
    <author>Johan Östberg</author>
  </authors>
  <commentList>
    <comment ref="D1" authorId="0" shapeId="0" xr:uid="{00000000-0006-0000-0000-000001000000}">
      <text>
        <r>
          <rPr>
            <b/>
            <sz val="9"/>
            <color indexed="81"/>
            <rFont val="Tahoma"/>
            <family val="2"/>
          </rPr>
          <t>Dani Mladoniczky:</t>
        </r>
        <r>
          <rPr>
            <sz val="9"/>
            <color indexed="81"/>
            <rFont val="Tahoma"/>
            <family val="2"/>
          </rPr>
          <t xml:space="preserve">
Ingen avrundningsskillnad mellan Excel-formuläret för enstaka träd och tabellen i denna flik. Däremot kan avrundningar vid summering av flera värden skilja sig från summan av synliga belopp. För att undvika sådana skillnader bör man kontrollera summan mot manuellt summerade belopp i hela kronor.</t>
        </r>
      </text>
    </comment>
    <comment ref="D3" authorId="1" shapeId="0" xr:uid="{00000000-0006-0000-0000-000002000000}">
      <text>
        <r>
          <rPr>
            <b/>
            <sz val="9"/>
            <color indexed="81"/>
            <rFont val="Tahoma"/>
            <family val="2"/>
          </rPr>
          <t>Johan:</t>
        </r>
        <r>
          <rPr>
            <sz val="9"/>
            <color indexed="81"/>
            <rFont val="Tahoma"/>
            <family val="2"/>
          </rPr>
          <t xml:space="preserve">
1 Acer campestre 
2 Acer campestre 'Elsrijk'
3 Acer campestre FK Uppsala E
4 Acer cappadocicum
5 Acer negundo
6 Acer negundo FK Alnarp E
7 Acer platanoides
8 Acer platanoides FK Pernilla, Ultuna E
9 Acer platanoides 'Faasen's black'
10 Acer platanoides 'Globosum'
11 Acer platanoides 'Schwedleri'
12 Acer pseudoplatanus
13 Acer pseudoplatanus 'Atropurpureum'
14 Acer saccharinum
15 Acer tataricum
16 Acer tataricum FK Falun E
17 Acer x freemanii 'Autumn Blaze'
18 Aesculus carnea 'Briotii'
19 Aesculus hippocastanum
20 Ailanthus altissima
21 Alnus cordata
22 Alnus glutinosa
23 Alnus glutinosa FK Fyris E
24 Betula ermanii
25 Betula pendula
26 Betula pendula fk Julita E
27 Betula pubescens
28 Carpinus betulus
29 Carpinus betulus FK Carin E
30 Carpinus betulus 'Fastigiata'
31 Castanea sativa
32 Catalpa bignonioides
33 Cercidiphyllum japonicum
34 Cercidiphyllum japonicum FK Göteborg E
35 Corylus colurna
36 Crataegus carrierei
37 Crataegus crus-galli
38 Crataegus laevigata
39 Crataegus monogyna
40 Crataegus prunifolia 'Splendens'
41 Crataegus x persimilis (prunifolia)
42 Fagus sylvatica
43 Fagus sylvatica FK Gottåsa/Hallandsås E
44 Fagus sylvatica 'Atropunicea'
45 Fagus sylvatica 'Pendula'
46 Fraxinus excelsior
47 Fraxinus excelsior 'Pendula'
48 Fraxinus excelsior 'Westhof's Glorie'
49 Fraxinus ornus
50 Ginkgo biloba
51 Gleditsia triacanthos
52 Gleditsia triacanthos 'Skyline'
53 Juglans regia
54 Liriodendron tulipifera
55 Laburnum x Watereri 'Vossii'
56 Magnolia kobus
57 Magnolia soulangeana
58 Malus floribunda
59 Malus baccata
60 Malus 'Butterball'
61 Malus domestica
62 Metasequoia glyptostroboides
63 Picea abies
64 Picea omorika
65 Phellodendron amurense
66 Pinus sylvestris
67 Pinus sylvestris FK Skogskyrkogården E
68 Platanus orientalis
69 Platanus x acerifolia (syn. Platanus hispanica)
70 Populus alba 'Nivea'
71 Populus balsamifera
72 Populus nigra
73 Populus simonii
74 Populus tremula
75 Populus x canadensis 'Robusta'
76 Prunus 'Accolade'
77 Prunus maackii
78 Prunus avium
79 Prunus avium FK Svea, Lugnås, Ulltuna E 
80 Prunus avium 'Plena'
81 Prunus domestica
82 Prunus padus
83 Prunus padus FK Ultuna E
84 Prunus padus 'Watereri'
85 Prunus padus 'Colorata'
86 Prunus 'Sunset Boulevard'
87 Prunus 'Umineko'
88 Prunus x schmittii
89 Prunus x yedoensis
90 Pyrus communis
91 Quercus palustris
92 Quercus robur
93 Quercus robur FK Linköping/Ultuna E
94 Quercus rubra
95 Quercus rubra FK Bäcklösa/Enköping E
96 Robinia pseudoacacia
97 Salix alba
98 Salix caprea
99 Salix x sepulcralis 'Chrysocoma' (Salix alba 'Tristis')
100 Sambucus nigra
101 Sorbus aria 'Gigantea'
102 Sorbus aria
103 Sorbus intermedia
104 Sorbus intermedia FK Norrköping E
105 Sorbus aucuparia
106 Sorbus aucuparia FK Västeråker E
107 Tilia americana 'Nova'
108 Tilia cordata
109 Tilia platyphyllos 
110 Tilia platyphyllos 'Rubra'
111 Tilia tomentosa
112 Tilia x europaea (syn. vulgaris, syn. Intermedia)
113 Tilia x europaea 'Euchlora'
114 Tilia x europaea 'Koningslinde'
115 Tilia x europaea 'Pallida'
116 Ulmus glabra
117 Ulmus carpinifolia
118 Ulmus glabra x carpinifolia var vegeta
119 Ulmus minor
120 Ulmus minor 'Hoersholmiensis'
121 Ulmus glabra 'Horizontalis'
122 
123 
124 
125 
126 
127 
128 
129 
130 
131 
</t>
        </r>
      </text>
    </comment>
    <comment ref="E3" authorId="2" shapeId="0" xr:uid="{00000000-0006-0000-0000-000003000000}">
      <text>
        <r>
          <rPr>
            <b/>
            <sz val="9"/>
            <color indexed="81"/>
            <rFont val="Tahoma"/>
            <family val="2"/>
          </rPr>
          <t>Johan Östberg:</t>
        </r>
        <r>
          <rPr>
            <sz val="9"/>
            <color indexed="81"/>
            <rFont val="Tahoma"/>
            <family val="2"/>
          </rPr>
          <t xml:space="preserve">
Ränas ut genom uppgifterna i fliken "Formler"</t>
        </r>
      </text>
    </comment>
    <comment ref="F3" authorId="2" shapeId="0" xr:uid="{00000000-0006-0000-0000-000004000000}">
      <text>
        <r>
          <rPr>
            <b/>
            <sz val="9"/>
            <color indexed="81"/>
            <rFont val="Tahoma"/>
            <family val="2"/>
          </rPr>
          <t>Johan Östberg:</t>
        </r>
        <r>
          <rPr>
            <sz val="9"/>
            <color indexed="81"/>
            <rFont val="Tahoma"/>
            <family val="2"/>
          </rPr>
          <t xml:space="preserve">
Stamomfånget mäts på smalaste stället under 1 meters höjd. OM 1.3 meter använts vid tidigare mätningar kan detta användas istället för 1 meter. 
OBS! Avrunda neråt till närmsta 5-tal</t>
        </r>
      </text>
    </comment>
    <comment ref="G3" authorId="2" shapeId="0" xr:uid="{00000000-0006-0000-0000-000005000000}">
      <text>
        <r>
          <rPr>
            <b/>
            <sz val="9"/>
            <color indexed="81"/>
            <rFont val="Tahoma"/>
            <family val="2"/>
          </rPr>
          <t>Johan Östberg:</t>
        </r>
        <r>
          <rPr>
            <sz val="9"/>
            <color indexed="81"/>
            <rFont val="Tahoma"/>
            <family val="2"/>
          </rPr>
          <t xml:space="preserve">
Ränas ut genom antalet cm i stamomfång</t>
        </r>
      </text>
    </comment>
    <comment ref="J3" authorId="2" shapeId="0" xr:uid="{00000000-0006-0000-0000-000006000000}">
      <text>
        <r>
          <rPr>
            <b/>
            <sz val="9"/>
            <color indexed="81"/>
            <rFont val="Tahoma"/>
            <family val="2"/>
          </rPr>
          <t>Johan Östberg:</t>
        </r>
        <r>
          <rPr>
            <sz val="9"/>
            <color indexed="81"/>
            <rFont val="Tahoma"/>
            <family val="2"/>
          </rPr>
          <t xml:space="preserve">
Värdena får ändras om det är mycket speciella platsförutsättningar</t>
        </r>
      </text>
    </comment>
    <comment ref="K3" authorId="2" shapeId="0" xr:uid="{00000000-0006-0000-0000-000007000000}">
      <text>
        <r>
          <rPr>
            <b/>
            <sz val="9"/>
            <color indexed="81"/>
            <rFont val="Tahoma"/>
            <family val="2"/>
          </rPr>
          <t>Johan Östberg:</t>
        </r>
        <r>
          <rPr>
            <sz val="9"/>
            <color indexed="81"/>
            <rFont val="Tahoma"/>
            <family val="2"/>
          </rPr>
          <t xml:space="preserve">
Skala från 0 till 4 där 4 är bäst</t>
        </r>
      </text>
    </comment>
    <comment ref="L3" authorId="2" shapeId="0" xr:uid="{00000000-0006-0000-0000-000008000000}">
      <text>
        <r>
          <rPr>
            <b/>
            <sz val="9"/>
            <color indexed="81"/>
            <rFont val="Tahoma"/>
            <family val="2"/>
          </rPr>
          <t>Johan Östberg:</t>
        </r>
        <r>
          <rPr>
            <sz val="9"/>
            <color indexed="81"/>
            <rFont val="Tahoma"/>
            <family val="2"/>
          </rPr>
          <t xml:space="preserve">
Skala från 0 till 4 där 4 är bäst</t>
        </r>
      </text>
    </comment>
    <comment ref="M3" authorId="2" shapeId="0" xr:uid="{00000000-0006-0000-0000-000009000000}">
      <text>
        <r>
          <rPr>
            <b/>
            <sz val="9"/>
            <color indexed="81"/>
            <rFont val="Tahoma"/>
            <family val="2"/>
          </rPr>
          <t>Johan Östberg:</t>
        </r>
        <r>
          <rPr>
            <sz val="9"/>
            <color indexed="81"/>
            <rFont val="Tahoma"/>
            <family val="2"/>
          </rPr>
          <t xml:space="preserve">
Skala från 0 till 4 där 4 är bäst</t>
        </r>
      </text>
    </comment>
    <comment ref="N3" authorId="2" shapeId="0" xr:uid="{00000000-0006-0000-0000-00000A000000}">
      <text>
        <r>
          <rPr>
            <b/>
            <sz val="9"/>
            <color indexed="81"/>
            <rFont val="Tahoma"/>
            <family val="2"/>
          </rPr>
          <t>Johan Östberg:</t>
        </r>
        <r>
          <rPr>
            <sz val="9"/>
            <color indexed="81"/>
            <rFont val="Tahoma"/>
            <family val="2"/>
          </rPr>
          <t xml:space="preserve">
Skala från 0 till 4 där 4 är bäst</t>
        </r>
      </text>
    </comment>
    <comment ref="Q3" authorId="2" shapeId="0" xr:uid="{00000000-0006-0000-0000-00000B000000}">
      <text>
        <r>
          <rPr>
            <b/>
            <sz val="9"/>
            <color indexed="81"/>
            <rFont val="Tahoma"/>
            <family val="2"/>
          </rPr>
          <t>Johan Östberg:</t>
        </r>
        <r>
          <rPr>
            <sz val="9"/>
            <color indexed="81"/>
            <rFont val="Tahoma"/>
            <family val="2"/>
          </rPr>
          <t xml:space="preserve">
20% skada ger minst 20 %          
25% ger 25 % ersättning
30% ger 35 % ersättning      
35% ger 50 % ersättning      
40% ger 70 % ersättning
45% ger 90 % ersättning      
50% och däröver ger 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 Mladoniczky</author>
    <author>arne</author>
    <author>Johan Östberg</author>
    <author>Arne</author>
  </authors>
  <commentList>
    <comment ref="D2" authorId="0" shapeId="0" xr:uid="{00000000-0006-0000-0100-000001000000}">
      <text>
        <r>
          <rPr>
            <b/>
            <sz val="9"/>
            <color indexed="81"/>
            <rFont val="Tahoma"/>
            <family val="2"/>
          </rPr>
          <t>Dani Mladoniczky:</t>
        </r>
        <r>
          <rPr>
            <sz val="9"/>
            <color indexed="81"/>
            <rFont val="Tahoma"/>
            <family val="2"/>
          </rPr>
          <t xml:space="preserve">
medel om period (vecka/månad)</t>
        </r>
      </text>
    </comment>
    <comment ref="N10" authorId="1" shapeId="0" xr:uid="{723B369B-29D7-45B6-B14F-18C157E3ED6B}">
      <text>
        <r>
          <rPr>
            <sz val="9"/>
            <color indexed="81"/>
            <rFont val="Tahoma"/>
            <family val="2"/>
          </rPr>
          <t>Priset gäller namnsorten 'Rubrum', pris för ren art saknas</t>
        </r>
      </text>
    </comment>
    <comment ref="R25" authorId="2" shapeId="0" xr:uid="{00000000-0006-0000-0100-000005000000}">
      <text>
        <r>
          <rPr>
            <b/>
            <sz val="9"/>
            <color indexed="81"/>
            <rFont val="Tahoma"/>
            <family val="2"/>
          </rPr>
          <t>Johan Östberg:</t>
        </r>
        <r>
          <rPr>
            <sz val="9"/>
            <color indexed="81"/>
            <rFont val="Tahoma"/>
            <family val="2"/>
          </rPr>
          <t xml:space="preserve">
Svenska plantskolor: 250-300. Internationella plantskolor: 250-275</t>
        </r>
      </text>
    </comment>
    <comment ref="R26" authorId="2" shapeId="0" xr:uid="{00000000-0006-0000-0100-000006000000}">
      <text>
        <r>
          <rPr>
            <b/>
            <sz val="9"/>
            <color indexed="81"/>
            <rFont val="Tahoma"/>
            <family val="2"/>
          </rPr>
          <t>Johan Östberg:</t>
        </r>
        <r>
          <rPr>
            <sz val="9"/>
            <color indexed="81"/>
            <rFont val="Tahoma"/>
            <family val="2"/>
          </rPr>
          <t xml:space="preserve">
Räknas på 175-200</t>
        </r>
      </text>
    </comment>
    <comment ref="M68" authorId="1" shapeId="0" xr:uid="{D8391ADC-6AC8-43E9-B3F4-F567EA2B0428}">
      <text>
        <r>
          <rPr>
            <b/>
            <sz val="9"/>
            <color indexed="81"/>
            <rFont val="Tahoma"/>
            <charset val="1"/>
          </rPr>
          <t>Topphöjd 250-275</t>
        </r>
        <r>
          <rPr>
            <sz val="9"/>
            <color indexed="81"/>
            <rFont val="Tahoma"/>
            <charset val="1"/>
          </rPr>
          <t xml:space="preserve">
</t>
        </r>
      </text>
    </comment>
    <comment ref="N68" authorId="1" shapeId="0" xr:uid="{AC71D069-B9ED-4213-A3BF-D77B74220053}">
      <text>
        <r>
          <rPr>
            <b/>
            <sz val="9"/>
            <color indexed="81"/>
            <rFont val="Tahoma"/>
            <charset val="1"/>
          </rPr>
          <t>topphöj 250-275</t>
        </r>
        <r>
          <rPr>
            <sz val="9"/>
            <color indexed="81"/>
            <rFont val="Tahoma"/>
            <charset val="1"/>
          </rPr>
          <t xml:space="preserve">
</t>
        </r>
      </text>
    </comment>
    <comment ref="B69" authorId="2" shapeId="0" xr:uid="{3D1C123E-3372-491C-9397-D3A80E547CD9}">
      <text>
        <r>
          <rPr>
            <b/>
            <sz val="9"/>
            <color indexed="81"/>
            <rFont val="Tahoma"/>
            <family val="2"/>
          </rPr>
          <t>Johan Östberg:</t>
        </r>
        <r>
          <rPr>
            <sz val="9"/>
            <color indexed="81"/>
            <rFont val="Tahoma"/>
            <family val="2"/>
          </rPr>
          <t xml:space="preserve">
Svenska plantskolor: 250-300. Internationella plantskolor: 250-275</t>
        </r>
      </text>
    </comment>
    <comment ref="H69" authorId="3" shapeId="0" xr:uid="{EF5C62AD-29B3-4D16-8BFD-563C46AD5587}">
      <text>
        <r>
          <rPr>
            <b/>
            <sz val="9"/>
            <color indexed="81"/>
            <rFont val="Tahoma"/>
            <charset val="1"/>
          </rPr>
          <t>namnsort: 
FK Emmaboda</t>
        </r>
      </text>
    </comment>
    <comment ref="M69" authorId="1" shapeId="0" xr:uid="{F179A49F-911B-4A2A-92C5-56A75EED5CED}">
      <text>
        <r>
          <rPr>
            <b/>
            <sz val="9"/>
            <color indexed="81"/>
            <rFont val="Tahoma"/>
            <charset val="1"/>
          </rPr>
          <t>topphöjd 250-275</t>
        </r>
        <r>
          <rPr>
            <sz val="9"/>
            <color indexed="81"/>
            <rFont val="Tahoma"/>
            <charset val="1"/>
          </rPr>
          <t xml:space="preserve">
</t>
        </r>
      </text>
    </comment>
    <comment ref="N69" authorId="1" shapeId="0" xr:uid="{255B35F9-7056-4D29-B38A-4C078BC274C2}">
      <text>
        <r>
          <rPr>
            <sz val="9"/>
            <color indexed="81"/>
            <rFont val="Tahoma"/>
            <family val="2"/>
          </rPr>
          <t xml:space="preserve">Topphöjd 250-275
</t>
        </r>
      </text>
    </comment>
    <comment ref="B70" authorId="2" shapeId="0" xr:uid="{7F4CDB5C-3901-4B0E-8343-2BB6821A9ADC}">
      <text>
        <r>
          <rPr>
            <b/>
            <sz val="9"/>
            <color indexed="81"/>
            <rFont val="Tahoma"/>
            <family val="2"/>
          </rPr>
          <t>Johan Östberg:</t>
        </r>
        <r>
          <rPr>
            <sz val="9"/>
            <color indexed="81"/>
            <rFont val="Tahoma"/>
            <family val="2"/>
          </rPr>
          <t xml:space="preserve">
Svenska plantskolor: 250-300. Internationella plantskolor: 250-275</t>
        </r>
      </text>
    </comment>
    <comment ref="M70" authorId="1" shapeId="0" xr:uid="{9722AE74-AA06-4070-B0F1-BE93F8600A1B}">
      <text>
        <r>
          <rPr>
            <b/>
            <sz val="9"/>
            <color indexed="81"/>
            <rFont val="Tahoma"/>
            <charset val="1"/>
          </rPr>
          <t>Topphöjd 250-275</t>
        </r>
        <r>
          <rPr>
            <sz val="9"/>
            <color indexed="81"/>
            <rFont val="Tahoma"/>
            <charset val="1"/>
          </rPr>
          <t xml:space="preserve">
</t>
        </r>
      </text>
    </comment>
    <comment ref="N70" authorId="1" shapeId="0" xr:uid="{FEFF25AB-31D1-41F4-950D-A3DEFFC9E832}">
      <text>
        <r>
          <rPr>
            <sz val="9"/>
            <color indexed="81"/>
            <rFont val="Tahoma"/>
            <family val="2"/>
          </rPr>
          <t xml:space="preserve">Topphöjd 250-275
</t>
        </r>
      </text>
    </comment>
    <comment ref="B72" authorId="2" shapeId="0" xr:uid="{3A0DFBE2-04E5-4F71-8A80-D8793BCE4FF3}">
      <text>
        <r>
          <rPr>
            <b/>
            <sz val="9"/>
            <color indexed="81"/>
            <rFont val="Tahoma"/>
            <family val="2"/>
          </rPr>
          <t>Johan Östberg:</t>
        </r>
        <r>
          <rPr>
            <sz val="9"/>
            <color indexed="81"/>
            <rFont val="Tahoma"/>
            <family val="2"/>
          </rPr>
          <t xml:space="preserve">
Räknas på 175-200</t>
        </r>
      </text>
    </comment>
    <comment ref="N83" authorId="1" shapeId="0" xr:uid="{040E59C3-70ED-4634-A8DC-AD0CF461304D}">
      <text>
        <r>
          <rPr>
            <sz val="9"/>
            <color indexed="81"/>
            <rFont val="Tahoma"/>
            <family val="2"/>
          </rPr>
          <t xml:space="preserve">Namnsort 'Amber beuty'
</t>
        </r>
      </text>
    </comment>
    <comment ref="N107" authorId="1" shapeId="0" xr:uid="{492A1BC1-2E42-418D-9C2C-0C03A442C063}">
      <text>
        <r>
          <rPr>
            <sz val="9"/>
            <color indexed="81"/>
            <rFont val="Tahoma"/>
            <family val="2"/>
          </rPr>
          <t>Namnsort 'Magnifica'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 Mladoniczky</author>
  </authors>
  <commentList>
    <comment ref="D8" authorId="0" shapeId="0" xr:uid="{00000000-0006-0000-0200-000001000000}">
      <text>
        <r>
          <rPr>
            <sz val="9"/>
            <color indexed="81"/>
            <rFont val="Tahoma"/>
            <family val="2"/>
          </rPr>
          <t>Skriv in namn så hämtas basvärdet automatiskt (om art/sort finns i listan)
Obs! Måste skrivas exakt så som namnet står i listan i fliken Formler.</t>
        </r>
      </text>
    </comment>
    <comment ref="D30" authorId="0" shapeId="0" xr:uid="{00000000-0006-0000-0200-000002000000}">
      <text>
        <r>
          <rPr>
            <sz val="9"/>
            <color indexed="81"/>
            <rFont val="Tahoma"/>
            <family val="2"/>
          </rPr>
          <t xml:space="preserve">gatuträd </t>
        </r>
        <r>
          <rPr>
            <i/>
            <sz val="9"/>
            <color indexed="81"/>
            <rFont val="Tahoma"/>
            <family val="2"/>
          </rPr>
          <t xml:space="preserve">eller </t>
        </r>
        <r>
          <rPr>
            <sz val="9"/>
            <color indexed="81"/>
            <rFont val="Tahoma"/>
            <family val="2"/>
          </rPr>
          <t>övrig mark</t>
        </r>
      </text>
    </comment>
  </commentList>
</comments>
</file>

<file path=xl/sharedStrings.xml><?xml version="1.0" encoding="utf-8"?>
<sst xmlns="http://schemas.openxmlformats.org/spreadsheetml/2006/main" count="692" uniqueCount="302">
  <si>
    <t>Uppdaterad 2019-11-20</t>
  </si>
  <si>
    <t>OBS!
Denna Excel-fil är endast ett hjälpmedel och användaren har det fulla ansvaret att kontrollera värdena och hålla dessa uppdaterade. Det finns även vissa skillnader mellan att använda formuläret för Alnarpsmodellen och att använda denna Excel-fil, vilket beror på avrundningar av bland annt Pi. Excel-filen är alltså mer exakt. 
Excel-filen kommer alltså inte uppdateras med nya värden. Om nya värden ska läggas in görs detta under fliken ´Formler´. Om värdena inte uppdateras riskerar  användaren i princip alltid att endast undervärdera objektet.</t>
  </si>
  <si>
    <t>Värdering när hela trädet är borta. Vid skadat träd används denna del för att värdera hela trädet, sedan görs en skadereglering i formlerna efter</t>
  </si>
  <si>
    <t>Träd-nummer</t>
  </si>
  <si>
    <t>Trädart, vetenskapligt namn</t>
  </si>
  <si>
    <t>Trädart, svenskt namn</t>
  </si>
  <si>
    <r>
      <t xml:space="preserve">Trädart (ange nummer)
</t>
    </r>
    <r>
      <rPr>
        <sz val="8"/>
        <color theme="1"/>
        <rFont val="Arial"/>
        <family val="2"/>
      </rPr>
      <t/>
    </r>
  </si>
  <si>
    <t>Pris per cm2</t>
  </si>
  <si>
    <t>Stamomfång avrundat nedåt till närmsta 5-tal</t>
  </si>
  <si>
    <t>Antal cm2</t>
  </si>
  <si>
    <t>Trädets ersättningsvärde</t>
  </si>
  <si>
    <r>
      <t xml:space="preserve">Park eller gatuträd. 
</t>
    </r>
    <r>
      <rPr>
        <sz val="11"/>
        <color theme="1"/>
        <rFont val="Arial"/>
        <family val="2"/>
      </rPr>
      <t>1 = Gatuträd
2 = Parkträd</t>
    </r>
  </si>
  <si>
    <r>
      <t xml:space="preserve">Planterings- och etableringskostnad
</t>
    </r>
    <r>
      <rPr>
        <sz val="11"/>
        <color theme="1"/>
        <rFont val="Arial"/>
        <family val="2"/>
      </rPr>
      <t>Gatuträd 20 000 kr + 70 kr per cm2 (Maximalt 85 000 kr.)
Parkträd 10 000 + 70 kr per cm2 (Maximalt 75 000 kr.)</t>
    </r>
  </si>
  <si>
    <t>Vitalitet</t>
  </si>
  <si>
    <t>Skador på stambas/rot</t>
  </si>
  <si>
    <t>Skador på stam</t>
  </si>
  <si>
    <t>Skador på krona</t>
  </si>
  <si>
    <t>Skade- och vitalitetsfaktor</t>
  </si>
  <si>
    <t>Totalt ersättningsvärde (exkl moms)</t>
  </si>
  <si>
    <t xml:space="preserve">Vid delskada, ange procentuell ersättning baserat på skadan omfattning på trädets kronvolym, stamomkrets eller rotsystemets utbredning
</t>
  </si>
  <si>
    <t>Ersättningsbelopp vid delskada</t>
  </si>
  <si>
    <t>Summa</t>
  </si>
  <si>
    <t>Valutakurs SEK/EUR enligt Riksbanken</t>
  </si>
  <si>
    <t>Kvadratcentimeter träd 13 cm omkrets</t>
  </si>
  <si>
    <t>Pris 12-14</t>
  </si>
  <si>
    <t>Trädarter, vetenskapligt</t>
  </si>
  <si>
    <t>Trädart, svenskt</t>
  </si>
  <si>
    <t>Medelvärde</t>
  </si>
  <si>
    <t>Lorenz von Ehren, 2019 SEK</t>
  </si>
  <si>
    <t>Bruns 2019 SEK</t>
  </si>
  <si>
    <t>Stångby, 2019</t>
  </si>
  <si>
    <t>Splendor Plant, 2019</t>
  </si>
  <si>
    <t>Tönnersjö Plantskola, 2019</t>
  </si>
  <si>
    <t>Essunga plantskola, 2019</t>
  </si>
  <si>
    <t>Björkhaga, 2019</t>
  </si>
  <si>
    <t>Billbäcks, 2019</t>
  </si>
  <si>
    <t>Lorenz von Ehren, 2019 €</t>
  </si>
  <si>
    <t>Bruns 2019 €</t>
  </si>
  <si>
    <t>Antal prisuppgifter</t>
  </si>
  <si>
    <t>Trädarter</t>
  </si>
  <si>
    <t>Pris per kvadratcentimeter 12-14</t>
  </si>
  <si>
    <t xml:space="preserve">Acer campestre </t>
  </si>
  <si>
    <t>Naverlönn</t>
  </si>
  <si>
    <t>saknas</t>
  </si>
  <si>
    <t>Acer campestre 'Elsrijk'</t>
  </si>
  <si>
    <t>Acer campestre FK Uppsala E</t>
  </si>
  <si>
    <t>Acer cappadocicum</t>
  </si>
  <si>
    <t>Turkisk lönn</t>
  </si>
  <si>
    <t>Acer negundo</t>
  </si>
  <si>
    <t>Asklönn</t>
  </si>
  <si>
    <t>Acer negundo FK Alnarp E</t>
  </si>
  <si>
    <t>Acer platanoides</t>
  </si>
  <si>
    <t>Skogslönn</t>
  </si>
  <si>
    <t>Acer platanoides FK Pernilla, Ultuna E</t>
  </si>
  <si>
    <t>Acer platanoides 'Faasen's black'</t>
  </si>
  <si>
    <t>Rödbladig lönn</t>
  </si>
  <si>
    <t>Acer platanoides 'Globosum'</t>
  </si>
  <si>
    <t>Klotlönn</t>
  </si>
  <si>
    <t>Acer platanoides 'Schwedleri'</t>
  </si>
  <si>
    <t>Acer pseudoplatanus</t>
  </si>
  <si>
    <t>Tysklönn</t>
  </si>
  <si>
    <t>Acer pseudoplatanus 'Atropurpureum'</t>
  </si>
  <si>
    <t>Rödbladig tysklönn</t>
  </si>
  <si>
    <t>Acer saccharinum</t>
  </si>
  <si>
    <t xml:space="preserve">Silverlönn </t>
  </si>
  <si>
    <t>Acer tataricum</t>
  </si>
  <si>
    <t>Rysk lönn</t>
  </si>
  <si>
    <t>Saknas</t>
  </si>
  <si>
    <t>Acer tataricum FK Falun E</t>
  </si>
  <si>
    <t>Acer x freemanii 'Autumn Blaze'</t>
  </si>
  <si>
    <t>Freemaniilönn</t>
  </si>
  <si>
    <t>Aesculus carnea 'Briotii'</t>
  </si>
  <si>
    <t>Rödblommig hästkastanj</t>
  </si>
  <si>
    <t>Aesculus hippocastanum</t>
  </si>
  <si>
    <t>Hästkastanj</t>
  </si>
  <si>
    <t>Ailanthus altissima</t>
  </si>
  <si>
    <t>Gudaträd</t>
  </si>
  <si>
    <t>Alnus cordata</t>
  </si>
  <si>
    <t>Italiensk al</t>
  </si>
  <si>
    <t>Alnus glutinosa</t>
  </si>
  <si>
    <t>Klibbal</t>
  </si>
  <si>
    <t>Alnus glutinosa FK Fyris E</t>
  </si>
  <si>
    <t>Betula ermanii</t>
  </si>
  <si>
    <t>Kamtjatkabjörk</t>
  </si>
  <si>
    <t>endast topphöjd</t>
  </si>
  <si>
    <t>Betula pendula</t>
  </si>
  <si>
    <t>Vårtbjörk</t>
  </si>
  <si>
    <t>Betula pendula fk Julita E</t>
  </si>
  <si>
    <t>Betula pubescens</t>
  </si>
  <si>
    <t>Glasbjörk</t>
  </si>
  <si>
    <t>Carpinus betulus</t>
  </si>
  <si>
    <t>Avenbok</t>
  </si>
  <si>
    <t>Carpinus betulus FK Carin E</t>
  </si>
  <si>
    <t>Carpinus betulus 'Fastigiata'</t>
  </si>
  <si>
    <t>Pelaravenbok</t>
  </si>
  <si>
    <t>Castanea sativa</t>
  </si>
  <si>
    <t>Äkta kastanj</t>
  </si>
  <si>
    <t>Catalpa bignonioides</t>
  </si>
  <si>
    <t>Katalpa</t>
  </si>
  <si>
    <t>Cercidiphyllum japonicum</t>
  </si>
  <si>
    <t xml:space="preserve">Katsura </t>
  </si>
  <si>
    <t>Cercidiphyllum japonicum FK Göteborg E</t>
  </si>
  <si>
    <t>Corylus colurna</t>
  </si>
  <si>
    <t>Turkisk trädhassel</t>
  </si>
  <si>
    <t>Crataegus carrierei</t>
  </si>
  <si>
    <t>Glanshagtorn</t>
  </si>
  <si>
    <t>Crataegus crus-galli</t>
  </si>
  <si>
    <t>Sporrhagtorn</t>
  </si>
  <si>
    <t>Crataegus laevigata</t>
  </si>
  <si>
    <t>Rundhagtorn</t>
  </si>
  <si>
    <t>Crataegus monogyna</t>
  </si>
  <si>
    <t>Trubbhagtorn</t>
  </si>
  <si>
    <t>endast busk</t>
  </si>
  <si>
    <t>Crataegus prunifolia 'Splendens'</t>
  </si>
  <si>
    <t>Hagtorn</t>
  </si>
  <si>
    <t>Crataegus x persimilis (prunifolia)</t>
  </si>
  <si>
    <t>Sylhagtorn</t>
  </si>
  <si>
    <t>Fagus sylvatica</t>
  </si>
  <si>
    <t>Bok</t>
  </si>
  <si>
    <t>endast häck</t>
  </si>
  <si>
    <t>Fagus sylvatica FK Gottåsa/Hallandsås E</t>
  </si>
  <si>
    <t>Fagus sylvatica 'Atropunicea'</t>
  </si>
  <si>
    <t>Blodbok</t>
  </si>
  <si>
    <t>Fagus sylvatica 'Pendula'</t>
  </si>
  <si>
    <t>Hängbok</t>
  </si>
  <si>
    <t>endast ungträd</t>
  </si>
  <si>
    <t>endast topphöjd o större storlekar</t>
  </si>
  <si>
    <t>Fraxinus excelsior</t>
  </si>
  <si>
    <t>Ask</t>
  </si>
  <si>
    <t>Fraxinus excelsior 'Pendula'</t>
  </si>
  <si>
    <t>Hängask</t>
  </si>
  <si>
    <t>Fraxinus excelsior 'Westhof's Glorie'</t>
  </si>
  <si>
    <t>Fraxinus ornus</t>
  </si>
  <si>
    <t>Mannaask</t>
  </si>
  <si>
    <t>Ginkgo biloba</t>
  </si>
  <si>
    <t>Ginkgo</t>
  </si>
  <si>
    <t>Gleditsia triacanthos</t>
  </si>
  <si>
    <t>Korstörne</t>
  </si>
  <si>
    <t>Gleditsia triacanthos 'Skyline'</t>
  </si>
  <si>
    <t>Juglans regia</t>
  </si>
  <si>
    <t>(äkta) valnöt</t>
  </si>
  <si>
    <t>Liriodendron tulipifera</t>
  </si>
  <si>
    <t>Tulpanträd</t>
  </si>
  <si>
    <t>Laburnum x Watereri 'Vossii'</t>
  </si>
  <si>
    <t>Gullregn</t>
  </si>
  <si>
    <t>Magnolia kobus</t>
  </si>
  <si>
    <t>Japansk magnolia</t>
  </si>
  <si>
    <t>Magnolia soulangeana</t>
  </si>
  <si>
    <t>Praktmagnolia</t>
  </si>
  <si>
    <t>Malus floribunda</t>
  </si>
  <si>
    <t>Rosenapel</t>
  </si>
  <si>
    <t>Malus baccata</t>
  </si>
  <si>
    <t>Bärapel</t>
  </si>
  <si>
    <t>Malus 'Butterball'</t>
  </si>
  <si>
    <t>Prydnadsapel</t>
  </si>
  <si>
    <t>Malus domestica</t>
  </si>
  <si>
    <t>Äpple</t>
  </si>
  <si>
    <t>Metasequoia glyptostroboides</t>
  </si>
  <si>
    <t>Kinesisk sekvoja</t>
  </si>
  <si>
    <t>endast topphöjd och större storlekar</t>
  </si>
  <si>
    <t>endast topphöjd mindestorlekar</t>
  </si>
  <si>
    <t>Picea abies</t>
  </si>
  <si>
    <t>Rödgran</t>
  </si>
  <si>
    <t>endast på förfrågan</t>
  </si>
  <si>
    <t>Picea omorika</t>
  </si>
  <si>
    <t>Serbgran</t>
  </si>
  <si>
    <t>Phellodendron amurense</t>
  </si>
  <si>
    <t>Sibiriskt korkträd</t>
  </si>
  <si>
    <t>Pinus sylvestris</t>
  </si>
  <si>
    <t>Tall</t>
  </si>
  <si>
    <t>Pinus sylvestris FK Skogskyrkogården E</t>
  </si>
  <si>
    <t>Platanus orientalis</t>
  </si>
  <si>
    <t>Orientalisk platan</t>
  </si>
  <si>
    <t>Platanus x acerifolia (syn. Platanus hispanica)</t>
  </si>
  <si>
    <t>Platan</t>
  </si>
  <si>
    <t>Populus alba 'Nivea'</t>
  </si>
  <si>
    <t>Silverpoppel</t>
  </si>
  <si>
    <t>Populus balsamifera</t>
  </si>
  <si>
    <t>Balsampoppel</t>
  </si>
  <si>
    <t>Populus nigra</t>
  </si>
  <si>
    <t>Svartpoppel</t>
  </si>
  <si>
    <t>Populus simonii</t>
  </si>
  <si>
    <t>Kinesisk poppel</t>
  </si>
  <si>
    <t>Populus tremula</t>
  </si>
  <si>
    <t>Asp</t>
  </si>
  <si>
    <t>Populus x canadensis 'Robusta'</t>
  </si>
  <si>
    <t>Goliatpoppel</t>
  </si>
  <si>
    <t>Prunus 'Accolade'</t>
  </si>
  <si>
    <t>Blomsterkörsbär</t>
  </si>
  <si>
    <t>Prunus maackii</t>
  </si>
  <si>
    <t>Kopparhägg</t>
  </si>
  <si>
    <t>Prunus avium</t>
  </si>
  <si>
    <t>Fågelbär</t>
  </si>
  <si>
    <t xml:space="preserve">Prunus avium FK Svea, Lugnås, Ulltuna E </t>
  </si>
  <si>
    <t>Prunus avium 'Plena'</t>
  </si>
  <si>
    <t>Dubbelblommande fågelbär</t>
  </si>
  <si>
    <t>Prunus domestica</t>
  </si>
  <si>
    <t>Plommon</t>
  </si>
  <si>
    <t>Prunus padus</t>
  </si>
  <si>
    <t>Hägg</t>
  </si>
  <si>
    <t>Prunus padus FK Ultuna E</t>
  </si>
  <si>
    <t>Prunus padus 'Watereri'</t>
  </si>
  <si>
    <t xml:space="preserve">Storblommig hägg </t>
  </si>
  <si>
    <t>Prunus padus 'Colorata'</t>
  </si>
  <si>
    <t>Blodhägg</t>
  </si>
  <si>
    <t>Prunus 'Sunset Boulevard'</t>
  </si>
  <si>
    <t>Prunus 'Umineko'</t>
  </si>
  <si>
    <t>Prunus x schmittii</t>
  </si>
  <si>
    <t>Prunus x yedoensis</t>
  </si>
  <si>
    <t>Tokyokörsbär</t>
  </si>
  <si>
    <t>Pyrus communis</t>
  </si>
  <si>
    <t>Päron</t>
  </si>
  <si>
    <t>Quercus palustris</t>
  </si>
  <si>
    <t>Kärrek</t>
  </si>
  <si>
    <t>Quercus robur</t>
  </si>
  <si>
    <t>Ek</t>
  </si>
  <si>
    <t>Quercus robur FK Linköping/Ultuna E</t>
  </si>
  <si>
    <t>Quercus rubra</t>
  </si>
  <si>
    <t>Rödek</t>
  </si>
  <si>
    <t>Quercus rubra FK Bäcklösa/Enköping E</t>
  </si>
  <si>
    <t>Robinia pseudoacacia</t>
  </si>
  <si>
    <t>Robinia</t>
  </si>
  <si>
    <t>Salix alba</t>
  </si>
  <si>
    <t>Vitpil</t>
  </si>
  <si>
    <t>Salix caprea</t>
  </si>
  <si>
    <t>Sälg</t>
  </si>
  <si>
    <t>endast buskform</t>
  </si>
  <si>
    <t>Salix x sepulcralis 'Chrysocoma' (Salix alba 'Tristis')</t>
  </si>
  <si>
    <t>Hängpil</t>
  </si>
  <si>
    <t>Sambucus nigra</t>
  </si>
  <si>
    <t>Fläder</t>
  </si>
  <si>
    <t>Sorbus aria 'Gigantea'</t>
  </si>
  <si>
    <t>Jättevitoxel</t>
  </si>
  <si>
    <t>Sorbus aria</t>
  </si>
  <si>
    <t>Vitoxel</t>
  </si>
  <si>
    <t>Sorbus intermedia</t>
  </si>
  <si>
    <t>Oxel</t>
  </si>
  <si>
    <t>Sorbus intermedia FK Norrköping E</t>
  </si>
  <si>
    <t>Sorbus aucuparia</t>
  </si>
  <si>
    <t>Rönn</t>
  </si>
  <si>
    <t>Sorbus aucuparia FK Västeråker E</t>
  </si>
  <si>
    <t>Tilia americana 'Nova'</t>
  </si>
  <si>
    <t>Lind</t>
  </si>
  <si>
    <t>Tilia cordata</t>
  </si>
  <si>
    <t xml:space="preserve">Tilia platyphyllos </t>
  </si>
  <si>
    <t>Tilia platyphyllos 'Rubra'</t>
  </si>
  <si>
    <t>Rödgrenig bohuslind</t>
  </si>
  <si>
    <t>Tilia tomentosa</t>
  </si>
  <si>
    <t>Silverlind</t>
  </si>
  <si>
    <t>Tilia x europaea (syn. vulgaris, syn. Intermedia)</t>
  </si>
  <si>
    <t>Parklind</t>
  </si>
  <si>
    <t>Tilia x europaea 'Euchlora'</t>
  </si>
  <si>
    <t>Glanslind</t>
  </si>
  <si>
    <t>Tilia x europaea 'Koningslinde'</t>
  </si>
  <si>
    <t>Kungslind</t>
  </si>
  <si>
    <t>Tilia x europaea 'Pallida'</t>
  </si>
  <si>
    <t>Kejsarlind</t>
  </si>
  <si>
    <t>Ulmus glabra</t>
  </si>
  <si>
    <t>Skogsalm</t>
  </si>
  <si>
    <t>Ulmus carpinifolia</t>
  </si>
  <si>
    <t>Lundalm</t>
  </si>
  <si>
    <t>Ulmus glabra x carpinifolia var vegeta</t>
  </si>
  <si>
    <t>Alm</t>
  </si>
  <si>
    <t>Ulmus minor</t>
  </si>
  <si>
    <t>Ulmus minor 'Hoersholmiensis'</t>
  </si>
  <si>
    <t>Hörsholmsalm</t>
  </si>
  <si>
    <t>Ulmus glabra 'Horizontalis'</t>
  </si>
  <si>
    <t>Paraplyalm</t>
  </si>
  <si>
    <t>Formulär för beräkning av återställningskostnad</t>
  </si>
  <si>
    <t>Trädets återställningskostnad = (Trädets värde x Skador &amp; vitalitet) + Etableringskostnad</t>
  </si>
  <si>
    <t>Beräkning av trädets värde</t>
  </si>
  <si>
    <t>Valutakurs (SEK/EUR)</t>
  </si>
  <si>
    <t>kr</t>
  </si>
  <si>
    <t>Art, vetenskapligt</t>
  </si>
  <si>
    <t>Basvärde</t>
  </si>
  <si>
    <t>Diameter 12-14</t>
  </si>
  <si>
    <t>cm</t>
  </si>
  <si>
    <t>Area 12-14</t>
  </si>
  <si>
    <t>cm²</t>
  </si>
  <si>
    <t>Pris/cm²</t>
  </si>
  <si>
    <t>Värderat träd</t>
  </si>
  <si>
    <t>Stamomkrets</t>
  </si>
  <si>
    <t>Area</t>
  </si>
  <si>
    <t>Trädets värde</t>
  </si>
  <si>
    <t>Skador &amp; vitalitet (0-4)</t>
  </si>
  <si>
    <t>Rot-/stambas</t>
  </si>
  <si>
    <t>Stam</t>
  </si>
  <si>
    <t>Krona</t>
  </si>
  <si>
    <t>Summa / 16 (0-1)</t>
  </si>
  <si>
    <t>Planterings- &amp; etableringskostnad på den specifika platsen</t>
  </si>
  <si>
    <t>Etableringskostnad per cm²</t>
  </si>
  <si>
    <t>Gatuträd</t>
  </si>
  <si>
    <t>Träd, övrig mark</t>
  </si>
  <si>
    <t>Typ av etablering</t>
  </si>
  <si>
    <t>övrig mark</t>
  </si>
  <si>
    <t>Planterings- &amp; etableringskostnader (gatuträd)</t>
  </si>
  <si>
    <t>Planterings- &amp; etableringskostnader (övrig mark)</t>
  </si>
  <si>
    <t>Trädets återställningskostnad</t>
  </si>
  <si>
    <t>Skador &amp; vitalitet</t>
  </si>
  <si>
    <t>Etableringskostnad</t>
  </si>
  <si>
    <t>Återställningskostnad</t>
  </si>
  <si>
    <t>Formulär baserat på Alnarpsmodellen 2.2 (Östberg, Sjögren &amp; Kristofferson,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</si>
</sst>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kr&quot;;[Red]\-#,##0\ &quot;kr&quot;"/>
    <numFmt numFmtId="44" formatCode="_-* #,##0.00\ &quot;kr&quot;_-;\-* #,##0.00\ &quot;kr&quot;_-;_-* &quot;-&quot;??\ &quot;kr&quot;_-;_-@_-"/>
    <numFmt numFmtId="164" formatCode="#,##0.00&quot; kr &quot;;&quot;-&quot;#,##0.00&quot; kr &quot;;&quot; -&quot;#&quot; kr &quot;;@&quot; &quot;"/>
    <numFmt numFmtId="165" formatCode="[$-809]General"/>
    <numFmt numFmtId="166" formatCode="[$£-809]#,##0.00;[Red]&quot;-&quot;[$£-809]#,##0.00"/>
    <numFmt numFmtId="167" formatCode="_-* #,##0\ [$kr-41D]_-;\-* #,##0\ [$kr-41D]_-;_-* &quot;-&quot;??\ [$kr-41D]_-;_-@_-"/>
    <numFmt numFmtId="168" formatCode="_-* #,##0\ &quot;kr&quot;_-;\-* #,##0\ &quot;kr&quot;_-;_-* &quot;-&quot;??\ &quot;kr&quot;_-;_-@_-"/>
    <numFmt numFmtId="169" formatCode="_-* #,##0\ [$€-1]_-;\-* #,##0\ [$€-1]_-;_-* &quot;-&quot;??\ [$€-1]_-;_-@_-"/>
    <numFmt numFmtId="170" formatCode="#,##0\ &quot;kr&quot;"/>
    <numFmt numFmtId="171" formatCode="#,##0_ ;[Red]\-#,##0\ "/>
  </numFmts>
  <fonts count="42">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theme="1"/>
      <name val="Arial"/>
      <family val="2"/>
    </font>
    <font>
      <b/>
      <i/>
      <u/>
      <sz val="11"/>
      <color theme="1"/>
      <name val="Arial"/>
      <family val="2"/>
    </font>
    <font>
      <b/>
      <sz val="11"/>
      <color theme="1"/>
      <name val="Arial"/>
      <family val="2"/>
    </font>
    <font>
      <sz val="11"/>
      <color theme="1"/>
      <name val="Arial"/>
      <family val="2"/>
    </font>
    <font>
      <sz val="11"/>
      <name val="Calibri"/>
      <family val="2"/>
    </font>
    <font>
      <sz val="9"/>
      <color indexed="81"/>
      <name val="Tahoma"/>
      <family val="2"/>
    </font>
    <font>
      <b/>
      <sz val="9"/>
      <color indexed="81"/>
      <name val="Tahoma"/>
      <family val="2"/>
    </font>
    <font>
      <sz val="10"/>
      <color theme="1"/>
      <name val="Arial"/>
      <family val="2"/>
    </font>
    <font>
      <sz val="8"/>
      <color theme="1"/>
      <name val="Arial"/>
      <family val="2"/>
    </font>
    <font>
      <sz val="11"/>
      <name val="Arial"/>
      <family val="2"/>
    </font>
    <font>
      <b/>
      <sz val="11"/>
      <name val="Calibri"/>
      <family val="2"/>
    </font>
    <font>
      <b/>
      <sz val="11"/>
      <color theme="1"/>
      <name val="Calibri"/>
      <family val="2"/>
      <scheme val="minor"/>
    </font>
    <font>
      <i/>
      <sz val="11"/>
      <color theme="1"/>
      <name val="Arial"/>
      <family val="2"/>
    </font>
    <font>
      <sz val="18"/>
      <color theme="1"/>
      <name val="Calibri"/>
      <family val="2"/>
      <scheme val="minor"/>
    </font>
    <font>
      <b/>
      <sz val="18"/>
      <color theme="1"/>
      <name val="Calibri"/>
      <family val="2"/>
      <scheme val="minor"/>
    </font>
    <font>
      <b/>
      <sz val="11"/>
      <color theme="6" tint="-0.249977111117893"/>
      <name val="Arial"/>
      <family val="2"/>
    </font>
    <font>
      <b/>
      <sz val="11"/>
      <color theme="9" tint="-0.249977111117893"/>
      <name val="Arial"/>
      <family val="2"/>
    </font>
    <font>
      <b/>
      <sz val="11"/>
      <color theme="3" tint="0.39997558519241921"/>
      <name val="Arial"/>
      <family val="2"/>
    </font>
    <font>
      <sz val="14"/>
      <color theme="1"/>
      <name val="Calibri"/>
      <family val="2"/>
      <scheme val="minor"/>
    </font>
    <font>
      <sz val="11"/>
      <color theme="0"/>
      <name val="Arial"/>
      <family val="2"/>
    </font>
    <font>
      <sz val="14"/>
      <color theme="0"/>
      <name val="Calibri"/>
      <family val="2"/>
      <scheme val="minor"/>
    </font>
    <font>
      <b/>
      <sz val="12"/>
      <color theme="1"/>
      <name val="Arial"/>
      <family val="2"/>
    </font>
    <font>
      <u/>
      <sz val="11"/>
      <color theme="10"/>
      <name val="Arial"/>
      <family val="2"/>
    </font>
    <font>
      <u/>
      <sz val="11"/>
      <color theme="3" tint="0.39997558519241921"/>
      <name val="Calibri"/>
      <family val="2"/>
      <scheme val="minor"/>
    </font>
    <font>
      <i/>
      <sz val="11"/>
      <name val="Calibri"/>
      <family val="2"/>
    </font>
    <font>
      <i/>
      <sz val="9"/>
      <color indexed="81"/>
      <name val="Tahoma"/>
      <family val="2"/>
    </font>
    <font>
      <i/>
      <sz val="11"/>
      <color theme="1"/>
      <name val="Arial"/>
      <family val="2"/>
    </font>
    <font>
      <sz val="11"/>
      <color theme="1"/>
      <name val="Arial"/>
      <family val="2"/>
    </font>
    <font>
      <b/>
      <sz val="10"/>
      <color theme="1"/>
      <name val="Arial"/>
      <family val="2"/>
    </font>
    <font>
      <sz val="10"/>
      <color theme="1"/>
      <name val="Arial"/>
      <family val="2"/>
    </font>
    <font>
      <sz val="9"/>
      <color indexed="81"/>
      <name val="Tahoma"/>
      <charset val="1"/>
    </font>
    <font>
      <b/>
      <sz val="9"/>
      <color indexed="81"/>
      <name val="Tahoma"/>
      <charset val="1"/>
    </font>
    <font>
      <i/>
      <sz val="11"/>
      <name val="Calibri"/>
      <family val="2"/>
      <scheme val="minor"/>
    </font>
    <font>
      <sz val="1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99FF66"/>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9">
    <xf numFmtId="0" fontId="0" fillId="0" borderId="0"/>
    <xf numFmtId="164" fontId="7" fillId="0" borderId="0"/>
    <xf numFmtId="165" fontId="7" fillId="0" borderId="0"/>
    <xf numFmtId="0" fontId="8" fillId="0" borderId="0">
      <alignment horizontal="center"/>
    </xf>
    <xf numFmtId="0" fontId="8" fillId="0" borderId="0">
      <alignment horizontal="center" textRotation="90"/>
    </xf>
    <xf numFmtId="0" fontId="9" fillId="0" borderId="0"/>
    <xf numFmtId="166" fontId="9" fillId="0" borderId="0"/>
    <xf numFmtId="44" fontId="11" fillId="0" borderId="0" applyFont="0" applyFill="0" applyBorder="0" applyAlignment="0" applyProtection="0"/>
    <xf numFmtId="0" fontId="6" fillId="0" borderId="0"/>
    <xf numFmtId="0" fontId="11" fillId="0" borderId="0"/>
    <xf numFmtId="44" fontId="11" fillId="0" borderId="0" applyFont="0" applyFill="0" applyBorder="0" applyAlignment="0" applyProtection="0"/>
    <xf numFmtId="0" fontId="5" fillId="0" borderId="0"/>
    <xf numFmtId="0" fontId="11" fillId="0" borderId="0"/>
    <xf numFmtId="44" fontId="11"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0" fontId="3" fillId="0" borderId="0"/>
    <xf numFmtId="0" fontId="11" fillId="0" borderId="0"/>
    <xf numFmtId="44" fontId="11"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11" fillId="0" borderId="0"/>
    <xf numFmtId="44" fontId="11"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11" fillId="0" borderId="0" applyFont="0" applyFill="0" applyBorder="0" applyAlignment="0" applyProtection="0"/>
    <xf numFmtId="0" fontId="1" fillId="0" borderId="0"/>
    <xf numFmtId="0" fontId="1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cellStyleXfs>
  <cellXfs count="127">
    <xf numFmtId="0" fontId="0" fillId="0" borderId="0" xfId="0"/>
    <xf numFmtId="165" fontId="12" fillId="0" borderId="0" xfId="2" applyFont="1"/>
    <xf numFmtId="0" fontId="17" fillId="0" borderId="0" xfId="0" applyFont="1"/>
    <xf numFmtId="165" fontId="18" fillId="0" borderId="0" xfId="2" applyFont="1"/>
    <xf numFmtId="165" fontId="12" fillId="2" borderId="0" xfId="2" applyFont="1" applyFill="1"/>
    <xf numFmtId="169" fontId="12" fillId="0" borderId="0" xfId="7" applyNumberFormat="1" applyFont="1"/>
    <xf numFmtId="0" fontId="19" fillId="0" borderId="0" xfId="0" applyFont="1"/>
    <xf numFmtId="0" fontId="21" fillId="0" borderId="0" xfId="0" applyFont="1"/>
    <xf numFmtId="0" fontId="22" fillId="0" borderId="0" xfId="0" applyFont="1"/>
    <xf numFmtId="0" fontId="0" fillId="4" borderId="0" xfId="0" applyFill="1"/>
    <xf numFmtId="0" fontId="26" fillId="4" borderId="0" xfId="0" applyFont="1" applyFill="1"/>
    <xf numFmtId="0" fontId="0" fillId="5" borderId="0" xfId="0" applyFill="1" applyAlignment="1">
      <alignment horizontal="left"/>
    </xf>
    <xf numFmtId="0" fontId="0" fillId="0" borderId="13" xfId="0" applyBorder="1"/>
    <xf numFmtId="0" fontId="0" fillId="0" borderId="0" xfId="0" applyAlignment="1">
      <alignment horizontal="right"/>
    </xf>
    <xf numFmtId="0" fontId="0" fillId="5" borderId="0" xfId="0" applyFill="1" applyAlignment="1">
      <alignment vertical="top"/>
    </xf>
    <xf numFmtId="2" fontId="0" fillId="6" borderId="0" xfId="0" applyNumberFormat="1" applyFill="1"/>
    <xf numFmtId="0" fontId="0" fillId="0" borderId="0" xfId="0" applyAlignment="1">
      <alignment vertical="top"/>
    </xf>
    <xf numFmtId="3" fontId="23" fillId="6" borderId="0" xfId="0" applyNumberFormat="1" applyFont="1" applyFill="1"/>
    <xf numFmtId="0" fontId="0" fillId="7" borderId="0" xfId="0" applyFill="1"/>
    <xf numFmtId="0" fontId="26" fillId="7" borderId="0" xfId="0" applyFont="1" applyFill="1"/>
    <xf numFmtId="0" fontId="0" fillId="8" borderId="0" xfId="0" applyFill="1" applyAlignment="1">
      <alignment vertical="top"/>
    </xf>
    <xf numFmtId="0" fontId="0" fillId="0" borderId="1" xfId="0" applyBorder="1"/>
    <xf numFmtId="0" fontId="24" fillId="9" borderId="0" xfId="0" applyFont="1" applyFill="1"/>
    <xf numFmtId="0" fontId="0" fillId="10" borderId="0" xfId="0" applyFill="1"/>
    <xf numFmtId="0" fontId="26" fillId="10" borderId="0" xfId="0" applyFont="1" applyFill="1"/>
    <xf numFmtId="0" fontId="0" fillId="11" borderId="0" xfId="0" applyFill="1" applyAlignment="1">
      <alignment vertical="top" wrapText="1"/>
    </xf>
    <xf numFmtId="0" fontId="0" fillId="12" borderId="0" xfId="0" applyFill="1" applyAlignment="1">
      <alignment vertical="center"/>
    </xf>
    <xf numFmtId="0" fontId="0" fillId="0" borderId="0" xfId="0" applyAlignment="1">
      <alignment vertical="center"/>
    </xf>
    <xf numFmtId="0" fontId="0" fillId="11" borderId="0" xfId="0" applyFill="1" applyAlignment="1">
      <alignment vertical="top"/>
    </xf>
    <xf numFmtId="3" fontId="0" fillId="12" borderId="0" xfId="0" applyNumberFormat="1" applyFill="1"/>
    <xf numFmtId="6" fontId="0" fillId="0" borderId="0" xfId="0" quotePrefix="1" applyNumberFormat="1"/>
    <xf numFmtId="0" fontId="0" fillId="0" borderId="1" xfId="0" applyBorder="1" applyAlignment="1">
      <alignment horizontal="right" vertical="top"/>
    </xf>
    <xf numFmtId="3" fontId="25" fillId="12" borderId="0" xfId="0" applyNumberFormat="1" applyFont="1" applyFill="1" applyAlignment="1">
      <alignment vertical="top"/>
    </xf>
    <xf numFmtId="0" fontId="27" fillId="13" borderId="0" xfId="0" applyFont="1" applyFill="1"/>
    <xf numFmtId="0" fontId="28" fillId="13" borderId="0" xfId="0" applyFont="1" applyFill="1"/>
    <xf numFmtId="0" fontId="23" fillId="0" borderId="0" xfId="0" applyFont="1" applyAlignment="1">
      <alignment vertical="top"/>
    </xf>
    <xf numFmtId="3" fontId="23" fillId="0" borderId="0" xfId="0" applyNumberFormat="1" applyFont="1"/>
    <xf numFmtId="0" fontId="23" fillId="0" borderId="0" xfId="0" applyFont="1"/>
    <xf numFmtId="0" fontId="24" fillId="0" borderId="0" xfId="0" applyFont="1" applyAlignment="1">
      <alignment vertical="top"/>
    </xf>
    <xf numFmtId="0" fontId="24" fillId="0" borderId="0" xfId="0" applyFont="1"/>
    <xf numFmtId="0" fontId="25" fillId="0" borderId="0" xfId="0" applyFont="1" applyAlignment="1">
      <alignment vertical="top"/>
    </xf>
    <xf numFmtId="3" fontId="25" fillId="0" borderId="0" xfId="0" applyNumberFormat="1" applyFont="1"/>
    <xf numFmtId="0" fontId="10" fillId="0" borderId="0" xfId="0" applyFont="1" applyAlignment="1">
      <alignment vertical="center" wrapText="1"/>
    </xf>
    <xf numFmtId="3" fontId="29" fillId="0" borderId="0" xfId="0" applyNumberFormat="1" applyFont="1" applyAlignment="1">
      <alignment vertical="center" wrapText="1"/>
    </xf>
    <xf numFmtId="170" fontId="29" fillId="0" borderId="0" xfId="0" applyNumberFormat="1" applyFont="1" applyAlignment="1">
      <alignment vertical="center"/>
    </xf>
    <xf numFmtId="0" fontId="15" fillId="0" borderId="0" xfId="0" applyFont="1"/>
    <xf numFmtId="165" fontId="31" fillId="0" borderId="0" xfId="68" applyNumberFormat="1" applyFont="1"/>
    <xf numFmtId="14" fontId="12" fillId="0" borderId="0" xfId="2" applyNumberFormat="1" applyFont="1"/>
    <xf numFmtId="165" fontId="32" fillId="0" borderId="0" xfId="2" applyFont="1"/>
    <xf numFmtId="165" fontId="12" fillId="14" borderId="0" xfId="2" applyFont="1" applyFill="1"/>
    <xf numFmtId="165" fontId="18" fillId="14" borderId="0" xfId="2" applyFont="1" applyFill="1"/>
    <xf numFmtId="167" fontId="12" fillId="14" borderId="0" xfId="1" applyNumberFormat="1" applyFont="1" applyFill="1"/>
    <xf numFmtId="165" fontId="32" fillId="14" borderId="0" xfId="2" applyFont="1" applyFill="1"/>
    <xf numFmtId="3" fontId="0" fillId="6" borderId="0" xfId="0" applyNumberFormat="1" applyFill="1"/>
    <xf numFmtId="0" fontId="35" fillId="0" borderId="0" xfId="0" applyFont="1"/>
    <xf numFmtId="0" fontId="36" fillId="0" borderId="0" xfId="0" applyFont="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37" fillId="0" borderId="0" xfId="0" applyFont="1" applyAlignment="1">
      <alignment wrapText="1"/>
    </xf>
    <xf numFmtId="0" fontId="34" fillId="0" borderId="0" xfId="0" applyFont="1"/>
    <xf numFmtId="171" fontId="19" fillId="14" borderId="0" xfId="0" applyNumberFormat="1" applyFont="1" applyFill="1"/>
    <xf numFmtId="171" fontId="19" fillId="14" borderId="0" xfId="0" applyNumberFormat="1" applyFont="1" applyFill="1" applyAlignment="1">
      <alignment horizontal="center"/>
    </xf>
    <xf numFmtId="0" fontId="20" fillId="14" borderId="0" xfId="0" applyFont="1" applyFill="1" applyAlignment="1">
      <alignment horizontal="left"/>
    </xf>
    <xf numFmtId="0" fontId="19" fillId="14" borderId="0" xfId="0" applyFont="1" applyFill="1"/>
    <xf numFmtId="0" fontId="0" fillId="14" borderId="0" xfId="0" applyFill="1"/>
    <xf numFmtId="168" fontId="0" fillId="14" borderId="0" xfId="7" applyNumberFormat="1" applyFont="1" applyFill="1"/>
    <xf numFmtId="0" fontId="0" fillId="14" borderId="0" xfId="0" applyFill="1" applyAlignment="1">
      <alignment vertical="top"/>
    </xf>
    <xf numFmtId="167" fontId="40" fillId="3" borderId="1" xfId="20" applyNumberFormat="1" applyFont="1" applyFill="1" applyBorder="1" applyAlignment="1">
      <alignment horizontal="right"/>
    </xf>
    <xf numFmtId="167" fontId="41" fillId="3" borderId="1" xfId="20" applyNumberFormat="1" applyFont="1" applyFill="1" applyBorder="1" applyAlignment="1">
      <alignment horizontal="right"/>
    </xf>
    <xf numFmtId="0" fontId="10" fillId="0" borderId="2" xfId="0" applyFont="1" applyBorder="1"/>
    <xf numFmtId="167" fontId="0" fillId="3" borderId="0" xfId="0" applyNumberFormat="1" applyFill="1" applyAlignment="1">
      <alignment horizontal="center"/>
    </xf>
    <xf numFmtId="167" fontId="0" fillId="3" borderId="0" xfId="0" applyNumberFormat="1" applyFill="1"/>
    <xf numFmtId="167" fontId="0" fillId="3" borderId="0" xfId="0" applyNumberFormat="1" applyFill="1" applyAlignment="1">
      <alignment horizontal="left"/>
    </xf>
    <xf numFmtId="167" fontId="0" fillId="3" borderId="0" xfId="0" applyNumberFormat="1" applyFill="1" applyAlignment="1">
      <alignment horizontal="left" vertical="top"/>
    </xf>
    <xf numFmtId="167" fontId="0" fillId="3" borderId="0" xfId="0" applyNumberFormat="1" applyFill="1" applyAlignment="1">
      <alignment horizontal="center" vertical="top"/>
    </xf>
    <xf numFmtId="167" fontId="0" fillId="3" borderId="0" xfId="0" applyNumberFormat="1" applyFill="1" applyAlignment="1">
      <alignment vertical="top"/>
    </xf>
    <xf numFmtId="167" fontId="0" fillId="3" borderId="0" xfId="7" applyNumberFormat="1" applyFont="1" applyFill="1"/>
    <xf numFmtId="167" fontId="0" fillId="3" borderId="0" xfId="7" applyNumberFormat="1" applyFont="1" applyFill="1" applyAlignment="1">
      <alignment horizontal="left"/>
    </xf>
    <xf numFmtId="167" fontId="0" fillId="3" borderId="0" xfId="7" applyNumberFormat="1" applyFont="1" applyFill="1" applyAlignment="1">
      <alignment horizontal="center"/>
    </xf>
    <xf numFmtId="167" fontId="12" fillId="3" borderId="0" xfId="2" applyNumberFormat="1" applyFont="1" applyFill="1"/>
    <xf numFmtId="167" fontId="0" fillId="14" borderId="0" xfId="0" applyNumberFormat="1" applyFill="1" applyAlignment="1">
      <alignment horizontal="center"/>
    </xf>
    <xf numFmtId="167" fontId="0" fillId="14" borderId="0" xfId="7" applyNumberFormat="1" applyFont="1" applyFill="1" applyAlignment="1">
      <alignment horizontal="center"/>
    </xf>
    <xf numFmtId="169" fontId="0" fillId="3" borderId="0" xfId="0" applyNumberFormat="1" applyFill="1" applyAlignment="1">
      <alignment horizontal="center"/>
    </xf>
    <xf numFmtId="169" fontId="0" fillId="3" borderId="0" xfId="0" applyNumberFormat="1" applyFill="1"/>
    <xf numFmtId="169" fontId="0" fillId="3" borderId="0" xfId="0" applyNumberFormat="1" applyFill="1" applyAlignment="1">
      <alignment horizontal="left"/>
    </xf>
    <xf numFmtId="169" fontId="0" fillId="3" borderId="0" xfId="0" applyNumberFormat="1" applyFill="1" applyAlignment="1">
      <alignment horizontal="center" vertical="top"/>
    </xf>
    <xf numFmtId="169" fontId="0" fillId="3" borderId="0" xfId="0" applyNumberFormat="1" applyFill="1" applyAlignment="1">
      <alignment horizontal="left" vertical="top" wrapText="1"/>
    </xf>
    <xf numFmtId="169" fontId="0" fillId="3" borderId="0" xfId="0" applyNumberFormat="1" applyFill="1" applyAlignment="1">
      <alignment horizontal="center" vertical="top" wrapText="1"/>
    </xf>
    <xf numFmtId="169" fontId="12" fillId="3" borderId="0" xfId="2" applyNumberFormat="1" applyFont="1" applyFill="1"/>
    <xf numFmtId="0" fontId="20" fillId="0" borderId="14"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15" fillId="11" borderId="0" xfId="0" applyFont="1" applyFill="1" applyAlignment="1">
      <alignment horizontal="left" vertical="top" wrapText="1"/>
    </xf>
    <xf numFmtId="0" fontId="20" fillId="0" borderId="9" xfId="0" applyFont="1" applyBorder="1"/>
    <xf numFmtId="0" fontId="11" fillId="0" borderId="9" xfId="0" applyFont="1" applyBorder="1"/>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0"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1" fillId="0" borderId="0" xfId="0" applyFont="1"/>
    <xf numFmtId="168" fontId="20" fillId="14" borderId="5" xfId="7" applyNumberFormat="1" applyFont="1" applyFill="1" applyBorder="1" applyProtection="1"/>
    <xf numFmtId="168" fontId="11" fillId="14" borderId="0" xfId="7" applyNumberFormat="1" applyFont="1" applyFill="1" applyBorder="1" applyProtection="1"/>
    <xf numFmtId="0" fontId="11" fillId="3" borderId="0" xfId="0" applyFont="1" applyFill="1" applyProtection="1">
      <protection locked="0"/>
    </xf>
    <xf numFmtId="1" fontId="11" fillId="14" borderId="0" xfId="0" applyNumberFormat="1" applyFont="1" applyFill="1"/>
    <xf numFmtId="168" fontId="11" fillId="14" borderId="0" xfId="0" applyNumberFormat="1" applyFont="1" applyFill="1"/>
    <xf numFmtId="168" fontId="11" fillId="14" borderId="0" xfId="7" applyNumberFormat="1" applyFont="1" applyFill="1" applyBorder="1" applyProtection="1">
      <protection locked="0"/>
    </xf>
    <xf numFmtId="0" fontId="11" fillId="14" borderId="0" xfId="0" applyFont="1" applyFill="1"/>
    <xf numFmtId="168" fontId="10" fillId="0" borderId="0" xfId="7" applyNumberFormat="1" applyFont="1" applyBorder="1" applyProtection="1"/>
    <xf numFmtId="9" fontId="11" fillId="3" borderId="5" xfId="67" applyFont="1" applyFill="1" applyBorder="1" applyProtection="1"/>
    <xf numFmtId="168" fontId="11" fillId="0" borderId="11" xfId="0" applyNumberFormat="1" applyFont="1" applyBorder="1"/>
    <xf numFmtId="168" fontId="20" fillId="14" borderId="6" xfId="7" applyNumberFormat="1" applyFont="1" applyFill="1" applyBorder="1" applyProtection="1"/>
    <xf numFmtId="168" fontId="11" fillId="14" borderId="7" xfId="7" applyNumberFormat="1" applyFont="1" applyFill="1" applyBorder="1" applyProtection="1"/>
    <xf numFmtId="0" fontId="11" fillId="3" borderId="7" xfId="0" applyFont="1" applyFill="1" applyBorder="1" applyProtection="1">
      <protection locked="0"/>
    </xf>
    <xf numFmtId="1" fontId="11" fillId="14" borderId="7" xfId="0" applyNumberFormat="1" applyFont="1" applyFill="1" applyBorder="1"/>
    <xf numFmtId="168" fontId="11" fillId="14" borderId="7" xfId="0" applyNumberFormat="1" applyFont="1" applyFill="1" applyBorder="1"/>
    <xf numFmtId="168" fontId="11" fillId="14" borderId="7" xfId="7" applyNumberFormat="1" applyFont="1" applyFill="1" applyBorder="1" applyProtection="1">
      <protection locked="0"/>
    </xf>
    <xf numFmtId="0" fontId="11" fillId="14" borderId="7" xfId="0" applyFont="1" applyFill="1" applyBorder="1"/>
    <xf numFmtId="168" fontId="10" fillId="0" borderId="7" xfId="7" applyNumberFormat="1" applyFont="1" applyBorder="1" applyProtection="1"/>
    <xf numFmtId="9" fontId="11" fillId="3" borderId="6" xfId="67" applyFont="1" applyFill="1" applyBorder="1" applyProtection="1"/>
    <xf numFmtId="168" fontId="11" fillId="0" borderId="12" xfId="0" applyNumberFormat="1" applyFont="1" applyBorder="1"/>
    <xf numFmtId="0" fontId="20" fillId="0" borderId="0" xfId="0" applyFont="1"/>
    <xf numFmtId="168" fontId="10" fillId="0" borderId="0" xfId="0" applyNumberFormat="1" applyFont="1"/>
  </cellXfs>
  <cellStyles count="69">
    <cellStyle name="Excel Built-in Currency" xfId="1" xr:uid="{00000000-0005-0000-0000-000000000000}"/>
    <cellStyle name="Excel Built-in Normal" xfId="2" xr:uid="{00000000-0005-0000-0000-000001000000}"/>
    <cellStyle name="Heading" xfId="3" xr:uid="{00000000-0005-0000-0000-000002000000}"/>
    <cellStyle name="Heading1" xfId="4" xr:uid="{00000000-0005-0000-0000-000003000000}"/>
    <cellStyle name="Hyperlänk" xfId="68" builtinId="8"/>
    <cellStyle name="Normal" xfId="0" builtinId="0" customBuiltin="1"/>
    <cellStyle name="Normal 10" xfId="25" xr:uid="{00000000-0005-0000-0000-000006000000}"/>
    <cellStyle name="Normal 10 2" xfId="55" xr:uid="{00000000-0005-0000-0000-000007000000}"/>
    <cellStyle name="Normal 11" xfId="41" xr:uid="{00000000-0005-0000-0000-000008000000}"/>
    <cellStyle name="Normal 12" xfId="40" xr:uid="{00000000-0005-0000-0000-000009000000}"/>
    <cellStyle name="Normal 2" xfId="9" xr:uid="{00000000-0005-0000-0000-00000A000000}"/>
    <cellStyle name="Normal 3" xfId="8" xr:uid="{00000000-0005-0000-0000-00000B000000}"/>
    <cellStyle name="Normal 3 2" xfId="14" xr:uid="{00000000-0005-0000-0000-00000C000000}"/>
    <cellStyle name="Normal 3 2 2" xfId="22" xr:uid="{00000000-0005-0000-0000-00000D000000}"/>
    <cellStyle name="Normal 3 2 2 2" xfId="36" xr:uid="{00000000-0005-0000-0000-00000E000000}"/>
    <cellStyle name="Normal 3 2 2 2 2" xfId="64" xr:uid="{00000000-0005-0000-0000-00000F000000}"/>
    <cellStyle name="Normal 3 2 2 3" xfId="51" xr:uid="{00000000-0005-0000-0000-000010000000}"/>
    <cellStyle name="Normal 3 2 3" xfId="30" xr:uid="{00000000-0005-0000-0000-000011000000}"/>
    <cellStyle name="Normal 3 2 3 2" xfId="58" xr:uid="{00000000-0005-0000-0000-000012000000}"/>
    <cellStyle name="Normal 3 2 4" xfId="45" xr:uid="{00000000-0005-0000-0000-000013000000}"/>
    <cellStyle name="Normal 3 3" xfId="20" xr:uid="{00000000-0005-0000-0000-000014000000}"/>
    <cellStyle name="Normal 3 3 2" xfId="34" xr:uid="{00000000-0005-0000-0000-000015000000}"/>
    <cellStyle name="Normal 3 3 2 2" xfId="62" xr:uid="{00000000-0005-0000-0000-000016000000}"/>
    <cellStyle name="Normal 3 3 3" xfId="49" xr:uid="{00000000-0005-0000-0000-000017000000}"/>
    <cellStyle name="Normal 3 4" xfId="28" xr:uid="{00000000-0005-0000-0000-000018000000}"/>
    <cellStyle name="Normal 3 4 2" xfId="56" xr:uid="{00000000-0005-0000-0000-000019000000}"/>
    <cellStyle name="Normal 3 5" xfId="43" xr:uid="{00000000-0005-0000-0000-00001A000000}"/>
    <cellStyle name="Normal 4" xfId="12" xr:uid="{00000000-0005-0000-0000-00001B000000}"/>
    <cellStyle name="Normal 5" xfId="11" xr:uid="{00000000-0005-0000-0000-00001C000000}"/>
    <cellStyle name="Normal 5 2" xfId="21" xr:uid="{00000000-0005-0000-0000-00001D000000}"/>
    <cellStyle name="Normal 5 2 2" xfId="35" xr:uid="{00000000-0005-0000-0000-00001E000000}"/>
    <cellStyle name="Normal 5 2 2 2" xfId="63" xr:uid="{00000000-0005-0000-0000-00001F000000}"/>
    <cellStyle name="Normal 5 2 3" xfId="50" xr:uid="{00000000-0005-0000-0000-000020000000}"/>
    <cellStyle name="Normal 5 3" xfId="29" xr:uid="{00000000-0005-0000-0000-000021000000}"/>
    <cellStyle name="Normal 5 3 2" xfId="57" xr:uid="{00000000-0005-0000-0000-000022000000}"/>
    <cellStyle name="Normal 5 4" xfId="44" xr:uid="{00000000-0005-0000-0000-000023000000}"/>
    <cellStyle name="Normal 6" xfId="15" xr:uid="{00000000-0005-0000-0000-000024000000}"/>
    <cellStyle name="Normal 6 2" xfId="23" xr:uid="{00000000-0005-0000-0000-000025000000}"/>
    <cellStyle name="Normal 6 2 2" xfId="37" xr:uid="{00000000-0005-0000-0000-000026000000}"/>
    <cellStyle name="Normal 6 2 2 2" xfId="65" xr:uid="{00000000-0005-0000-0000-000027000000}"/>
    <cellStyle name="Normal 6 2 3" xfId="52" xr:uid="{00000000-0005-0000-0000-000028000000}"/>
    <cellStyle name="Normal 6 3" xfId="31" xr:uid="{00000000-0005-0000-0000-000029000000}"/>
    <cellStyle name="Normal 6 3 2" xfId="59" xr:uid="{00000000-0005-0000-0000-00002A000000}"/>
    <cellStyle name="Normal 6 4" xfId="46" xr:uid="{00000000-0005-0000-0000-00002B000000}"/>
    <cellStyle name="Normal 7" xfId="18" xr:uid="{00000000-0005-0000-0000-00002C000000}"/>
    <cellStyle name="Normal 8" xfId="17" xr:uid="{00000000-0005-0000-0000-00002D000000}"/>
    <cellStyle name="Normal 8 2" xfId="33" xr:uid="{00000000-0005-0000-0000-00002E000000}"/>
    <cellStyle name="Normal 8 2 2" xfId="61" xr:uid="{00000000-0005-0000-0000-00002F000000}"/>
    <cellStyle name="Normal 8 3" xfId="48" xr:uid="{00000000-0005-0000-0000-000030000000}"/>
    <cellStyle name="Normal 9" xfId="26" xr:uid="{00000000-0005-0000-0000-000031000000}"/>
    <cellStyle name="Procent" xfId="67" builtinId="5"/>
    <cellStyle name="Procent 2" xfId="39" xr:uid="{00000000-0005-0000-0000-000033000000}"/>
    <cellStyle name="Procent 3" xfId="54" xr:uid="{00000000-0005-0000-0000-000034000000}"/>
    <cellStyle name="Result" xfId="5" xr:uid="{00000000-0005-0000-0000-000035000000}"/>
    <cellStyle name="Result2" xfId="6" xr:uid="{00000000-0005-0000-0000-000036000000}"/>
    <cellStyle name="Valuta" xfId="7" builtinId="4"/>
    <cellStyle name="Valuta 2" xfId="10" xr:uid="{00000000-0005-0000-0000-000038000000}"/>
    <cellStyle name="Valuta 3" xfId="13" xr:uid="{00000000-0005-0000-0000-000039000000}"/>
    <cellStyle name="Valuta 4" xfId="16" xr:uid="{00000000-0005-0000-0000-00003A000000}"/>
    <cellStyle name="Valuta 4 2" xfId="24" xr:uid="{00000000-0005-0000-0000-00003B000000}"/>
    <cellStyle name="Valuta 4 2 2" xfId="38" xr:uid="{00000000-0005-0000-0000-00003C000000}"/>
    <cellStyle name="Valuta 4 2 2 2" xfId="66" xr:uid="{00000000-0005-0000-0000-00003D000000}"/>
    <cellStyle name="Valuta 4 2 3" xfId="53" xr:uid="{00000000-0005-0000-0000-00003E000000}"/>
    <cellStyle name="Valuta 4 3" xfId="32" xr:uid="{00000000-0005-0000-0000-00003F000000}"/>
    <cellStyle name="Valuta 4 3 2" xfId="60" xr:uid="{00000000-0005-0000-0000-000040000000}"/>
    <cellStyle name="Valuta 4 4" xfId="47" xr:uid="{00000000-0005-0000-0000-000041000000}"/>
    <cellStyle name="Valuta 5" xfId="19" xr:uid="{00000000-0005-0000-0000-000042000000}"/>
    <cellStyle name="Valuta 6" xfId="27" xr:uid="{00000000-0005-0000-0000-000043000000}"/>
    <cellStyle name="Valuta 7" xfId="42" xr:uid="{00000000-0005-0000-0000-00004400000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riksbank.se/sv/Rantor-och-valutakurser/Sok-rantor-och-valutakurser/?g130-SEKEURPMI=on"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R74"/>
  <sheetViews>
    <sheetView zoomScale="90" zoomScaleNormal="90" workbookViewId="0">
      <pane ySplit="3" topLeftCell="A4" activePane="bottomLeft" state="frozen"/>
      <selection pane="bottomLeft"/>
    </sheetView>
  </sheetViews>
  <sheetFormatPr defaultColWidth="9" defaultRowHeight="14.25"/>
  <cols>
    <col min="1" max="1" width="7.625" style="54" customWidth="1"/>
    <col min="2" max="2" width="22.625" style="60" customWidth="1"/>
    <col min="3" max="3" width="12" style="54" customWidth="1"/>
    <col min="4" max="4" width="9.25" style="54" customWidth="1"/>
    <col min="5" max="5" width="12.375" style="54" customWidth="1"/>
    <col min="6" max="6" width="10.625" style="54" customWidth="1"/>
    <col min="7" max="7" width="8.125" style="54" bestFit="1" customWidth="1"/>
    <col min="8" max="8" width="14.5" style="54" customWidth="1"/>
    <col min="9" max="9" width="12.125" style="54" customWidth="1"/>
    <col min="10" max="10" width="26.25" style="54" customWidth="1"/>
    <col min="11" max="15" width="9" style="54"/>
    <col min="16" max="16" width="14.25" style="54" bestFit="1" customWidth="1"/>
    <col min="17" max="17" width="15.5" style="54" customWidth="1"/>
    <col min="18" max="18" width="9.875" style="54" bestFit="1" customWidth="1"/>
    <col min="19" max="16384" width="9" style="54"/>
  </cols>
  <sheetData>
    <row r="1" spans="1:18" ht="89.45" customHeight="1" thickBot="1">
      <c r="A1" s="70" t="s">
        <v>0</v>
      </c>
      <c r="B1" s="94"/>
      <c r="C1" s="95"/>
      <c r="D1" s="96" t="s">
        <v>1</v>
      </c>
      <c r="E1" s="97"/>
      <c r="F1" s="97"/>
      <c r="G1" s="97"/>
      <c r="H1" s="97"/>
      <c r="I1" s="97"/>
      <c r="J1" s="97"/>
      <c r="K1" s="97"/>
      <c r="L1" s="97"/>
      <c r="M1" s="97"/>
      <c r="N1" s="97"/>
      <c r="O1" s="97"/>
      <c r="P1" s="97"/>
      <c r="Q1" s="97"/>
      <c r="R1" s="98"/>
    </row>
    <row r="2" spans="1:18" ht="63.6" customHeight="1" thickBot="1">
      <c r="A2" s="99"/>
      <c r="B2" s="100" t="s">
        <v>2</v>
      </c>
      <c r="C2" s="101"/>
      <c r="D2" s="101"/>
      <c r="E2" s="101"/>
      <c r="F2" s="101"/>
      <c r="G2" s="101"/>
      <c r="H2" s="101"/>
      <c r="I2" s="101"/>
      <c r="J2" s="101"/>
      <c r="K2" s="101"/>
      <c r="L2" s="101"/>
      <c r="M2" s="101"/>
      <c r="N2" s="101"/>
      <c r="O2" s="101"/>
      <c r="P2" s="101"/>
      <c r="Q2" s="102"/>
      <c r="R2" s="103"/>
    </row>
    <row r="3" spans="1:18" s="59" customFormat="1" ht="118.5" customHeight="1">
      <c r="A3" s="55" t="s">
        <v>3</v>
      </c>
      <c r="B3" s="56" t="s">
        <v>4</v>
      </c>
      <c r="C3" s="57" t="s">
        <v>5</v>
      </c>
      <c r="D3" s="57" t="s">
        <v>6</v>
      </c>
      <c r="E3" s="57" t="s">
        <v>7</v>
      </c>
      <c r="F3" s="57" t="s">
        <v>8</v>
      </c>
      <c r="G3" s="57" t="s">
        <v>9</v>
      </c>
      <c r="H3" s="57" t="s">
        <v>10</v>
      </c>
      <c r="I3" s="57" t="s">
        <v>11</v>
      </c>
      <c r="J3" s="57" t="s">
        <v>12</v>
      </c>
      <c r="K3" s="57" t="s">
        <v>13</v>
      </c>
      <c r="L3" s="57" t="s">
        <v>14</v>
      </c>
      <c r="M3" s="57" t="s">
        <v>15</v>
      </c>
      <c r="N3" s="57" t="s">
        <v>16</v>
      </c>
      <c r="O3" s="57" t="s">
        <v>17</v>
      </c>
      <c r="P3" s="57" t="s">
        <v>18</v>
      </c>
      <c r="Q3" s="56" t="s">
        <v>19</v>
      </c>
      <c r="R3" s="58" t="s">
        <v>20</v>
      </c>
    </row>
    <row r="4" spans="1:18" ht="15">
      <c r="A4" s="104"/>
      <c r="B4" s="105" t="e">
        <f>VLOOKUP(D4,Formler!$A:$D,2,FALSE)</f>
        <v>#N/A</v>
      </c>
      <c r="C4" s="106" t="e">
        <f>VLOOKUP(D4,Formler!$A:$D,3,FALSE)</f>
        <v>#N/A</v>
      </c>
      <c r="D4" s="107"/>
      <c r="E4" s="106" t="e">
        <f>VLOOKUP(D4,Formler!$Q:$S,3,FALSE)</f>
        <v>#N/A</v>
      </c>
      <c r="F4" s="107"/>
      <c r="G4" s="108">
        <f>(F4*F4)/(4*PI())</f>
        <v>0</v>
      </c>
      <c r="H4" s="109" t="e">
        <f>G4*E4</f>
        <v>#N/A</v>
      </c>
      <c r="I4" s="107"/>
      <c r="J4" s="110">
        <f>IF(I4=1,IF(70*G4+IF(I4=1,20000,(IF(I4=2,10000,0)))&gt;=85000,85000,70*G4+IF(I4=1,20000,(IF(I4=2,10000,0)))),IF(70*G4+IF(I4=1,20000,(IF(I4=2,10000,0)))&gt;=75000,75000,70*G4+IF(I4=1,20000,(IF(I4=2,10000,0)))))</f>
        <v>0</v>
      </c>
      <c r="K4" s="107">
        <v>4</v>
      </c>
      <c r="L4" s="107">
        <v>4</v>
      </c>
      <c r="M4" s="107">
        <v>4</v>
      </c>
      <c r="N4" s="107">
        <v>4</v>
      </c>
      <c r="O4" s="111">
        <f>(SUM(K4:N4)/16)</f>
        <v>1</v>
      </c>
      <c r="P4" s="112" t="e">
        <f>H4*O4+J4</f>
        <v>#N/A</v>
      </c>
      <c r="Q4" s="113"/>
      <c r="R4" s="114" t="e">
        <f>P4*Q4</f>
        <v>#N/A</v>
      </c>
    </row>
    <row r="5" spans="1:18" ht="15">
      <c r="A5" s="104"/>
      <c r="B5" s="105" t="e">
        <f>VLOOKUP(D5,Formler!$A:$D,2,FALSE)</f>
        <v>#N/A</v>
      </c>
      <c r="C5" s="106" t="e">
        <f>VLOOKUP(D5,Formler!$A:$D,3,FALSE)</f>
        <v>#N/A</v>
      </c>
      <c r="D5" s="107"/>
      <c r="E5" s="106" t="e">
        <f>VLOOKUP(D5,Formler!$Q:$S,3,FALSE)</f>
        <v>#N/A</v>
      </c>
      <c r="F5" s="107"/>
      <c r="G5" s="108">
        <f t="shared" ref="G5:G68" si="0">(F5*F5)/(4*PI())</f>
        <v>0</v>
      </c>
      <c r="H5" s="109" t="e">
        <f t="shared" ref="H5:H23" si="1">G5*E5</f>
        <v>#N/A</v>
      </c>
      <c r="I5" s="107"/>
      <c r="J5" s="110">
        <f t="shared" ref="J5:J68" si="2">IF(I5=1,IF(70*G5+IF(I5=1,20000,(IF(I5=2,10000,0)))&gt;=85000,85000,70*G5+IF(I5=1,20000,(IF(I5=2,10000,0)))),IF(70*G5+IF(I5=1,20000,(IF(I5=2,10000,0)))&gt;=75000,75000,70*G5+IF(I5=1,20000,(IF(I5=2,10000,0)))))</f>
        <v>0</v>
      </c>
      <c r="K5" s="107">
        <v>4</v>
      </c>
      <c r="L5" s="107">
        <v>4</v>
      </c>
      <c r="M5" s="107">
        <v>4</v>
      </c>
      <c r="N5" s="107">
        <v>4</v>
      </c>
      <c r="O5" s="111">
        <f t="shared" ref="O5:O31" si="3">(SUM(K5:N5)/16)</f>
        <v>1</v>
      </c>
      <c r="P5" s="112" t="e">
        <f t="shared" ref="P5:P68" si="4">H5*O5+J5</f>
        <v>#N/A</v>
      </c>
      <c r="Q5" s="113"/>
      <c r="R5" s="114" t="e">
        <f>P5*Q5</f>
        <v>#N/A</v>
      </c>
    </row>
    <row r="6" spans="1:18" ht="15">
      <c r="A6" s="104"/>
      <c r="B6" s="105" t="e">
        <f>VLOOKUP(D6,Formler!$A:$D,2,FALSE)</f>
        <v>#N/A</v>
      </c>
      <c r="C6" s="106" t="e">
        <f>VLOOKUP(D6,Formler!$A:$D,3,FALSE)</f>
        <v>#N/A</v>
      </c>
      <c r="D6" s="107"/>
      <c r="E6" s="106" t="e">
        <f>VLOOKUP(D6,Formler!$Q:$S,3,FALSE)</f>
        <v>#N/A</v>
      </c>
      <c r="F6" s="107"/>
      <c r="G6" s="108">
        <f t="shared" si="0"/>
        <v>0</v>
      </c>
      <c r="H6" s="109" t="e">
        <f t="shared" si="1"/>
        <v>#N/A</v>
      </c>
      <c r="I6" s="107"/>
      <c r="J6" s="110">
        <f t="shared" si="2"/>
        <v>0</v>
      </c>
      <c r="K6" s="107">
        <v>4</v>
      </c>
      <c r="L6" s="107">
        <v>4</v>
      </c>
      <c r="M6" s="107">
        <v>4</v>
      </c>
      <c r="N6" s="107">
        <v>4</v>
      </c>
      <c r="O6" s="111">
        <f t="shared" si="3"/>
        <v>1</v>
      </c>
      <c r="P6" s="112" t="e">
        <f t="shared" si="4"/>
        <v>#N/A</v>
      </c>
      <c r="Q6" s="113"/>
      <c r="R6" s="114" t="e">
        <f t="shared" ref="R6:R69" si="5">P6*Q6</f>
        <v>#N/A</v>
      </c>
    </row>
    <row r="7" spans="1:18" ht="15">
      <c r="A7" s="104"/>
      <c r="B7" s="105" t="e">
        <f>VLOOKUP(D7,Formler!$A:$D,2,FALSE)</f>
        <v>#N/A</v>
      </c>
      <c r="C7" s="106" t="e">
        <f>VLOOKUP(D7,Formler!$A:$D,3,FALSE)</f>
        <v>#N/A</v>
      </c>
      <c r="D7" s="107"/>
      <c r="E7" s="106" t="e">
        <f>VLOOKUP(D7,Formler!$Q:$S,3,FALSE)</f>
        <v>#N/A</v>
      </c>
      <c r="F7" s="107"/>
      <c r="G7" s="108">
        <f t="shared" si="0"/>
        <v>0</v>
      </c>
      <c r="H7" s="109" t="e">
        <f t="shared" si="1"/>
        <v>#N/A</v>
      </c>
      <c r="I7" s="107"/>
      <c r="J7" s="110">
        <f t="shared" si="2"/>
        <v>0</v>
      </c>
      <c r="K7" s="107">
        <v>4</v>
      </c>
      <c r="L7" s="107">
        <v>4</v>
      </c>
      <c r="M7" s="107">
        <v>4</v>
      </c>
      <c r="N7" s="107">
        <v>4</v>
      </c>
      <c r="O7" s="111">
        <f t="shared" si="3"/>
        <v>1</v>
      </c>
      <c r="P7" s="112" t="e">
        <f t="shared" si="4"/>
        <v>#N/A</v>
      </c>
      <c r="Q7" s="113"/>
      <c r="R7" s="114" t="e">
        <f t="shared" si="5"/>
        <v>#N/A</v>
      </c>
    </row>
    <row r="8" spans="1:18" ht="15">
      <c r="A8" s="104"/>
      <c r="B8" s="105" t="e">
        <f>VLOOKUP(D8,Formler!$A:$D,2,FALSE)</f>
        <v>#N/A</v>
      </c>
      <c r="C8" s="106" t="e">
        <f>VLOOKUP(D8,Formler!$A:$D,3,FALSE)</f>
        <v>#N/A</v>
      </c>
      <c r="D8" s="107"/>
      <c r="E8" s="106" t="e">
        <f>VLOOKUP(D8,Formler!$Q:$S,3,FALSE)</f>
        <v>#N/A</v>
      </c>
      <c r="F8" s="107"/>
      <c r="G8" s="108">
        <f t="shared" si="0"/>
        <v>0</v>
      </c>
      <c r="H8" s="109" t="e">
        <f t="shared" si="1"/>
        <v>#N/A</v>
      </c>
      <c r="I8" s="107"/>
      <c r="J8" s="110">
        <f t="shared" si="2"/>
        <v>0</v>
      </c>
      <c r="K8" s="107">
        <v>4</v>
      </c>
      <c r="L8" s="107">
        <v>4</v>
      </c>
      <c r="M8" s="107">
        <v>4</v>
      </c>
      <c r="N8" s="107">
        <v>4</v>
      </c>
      <c r="O8" s="111">
        <f t="shared" si="3"/>
        <v>1</v>
      </c>
      <c r="P8" s="112" t="e">
        <f t="shared" si="4"/>
        <v>#N/A</v>
      </c>
      <c r="Q8" s="113"/>
      <c r="R8" s="114" t="e">
        <f t="shared" si="5"/>
        <v>#N/A</v>
      </c>
    </row>
    <row r="9" spans="1:18" ht="15">
      <c r="A9" s="104"/>
      <c r="B9" s="105" t="e">
        <f>VLOOKUP(D9,Formler!$A:$D,2,FALSE)</f>
        <v>#N/A</v>
      </c>
      <c r="C9" s="106" t="e">
        <f>VLOOKUP(D9,Formler!$A:$D,3,FALSE)</f>
        <v>#N/A</v>
      </c>
      <c r="D9" s="107"/>
      <c r="E9" s="106" t="e">
        <f>VLOOKUP(D9,Formler!$Q:$S,3,FALSE)</f>
        <v>#N/A</v>
      </c>
      <c r="F9" s="107"/>
      <c r="G9" s="108">
        <f t="shared" si="0"/>
        <v>0</v>
      </c>
      <c r="H9" s="109" t="e">
        <f t="shared" si="1"/>
        <v>#N/A</v>
      </c>
      <c r="I9" s="107"/>
      <c r="J9" s="110">
        <f t="shared" si="2"/>
        <v>0</v>
      </c>
      <c r="K9" s="107">
        <v>4</v>
      </c>
      <c r="L9" s="107">
        <v>4</v>
      </c>
      <c r="M9" s="107">
        <v>4</v>
      </c>
      <c r="N9" s="107">
        <v>4</v>
      </c>
      <c r="O9" s="111">
        <f t="shared" si="3"/>
        <v>1</v>
      </c>
      <c r="P9" s="112" t="e">
        <f t="shared" si="4"/>
        <v>#N/A</v>
      </c>
      <c r="Q9" s="113"/>
      <c r="R9" s="114" t="e">
        <f t="shared" si="5"/>
        <v>#N/A</v>
      </c>
    </row>
    <row r="10" spans="1:18" ht="15">
      <c r="A10" s="104"/>
      <c r="B10" s="105" t="e">
        <f>VLOOKUP(D10,Formler!$A:$D,2,FALSE)</f>
        <v>#N/A</v>
      </c>
      <c r="C10" s="106" t="e">
        <f>VLOOKUP(D10,Formler!$A:$D,3,FALSE)</f>
        <v>#N/A</v>
      </c>
      <c r="D10" s="107"/>
      <c r="E10" s="106" t="e">
        <f>VLOOKUP(D10,Formler!$Q:$S,3,FALSE)</f>
        <v>#N/A</v>
      </c>
      <c r="F10" s="107"/>
      <c r="G10" s="108">
        <f t="shared" si="0"/>
        <v>0</v>
      </c>
      <c r="H10" s="109" t="e">
        <f t="shared" si="1"/>
        <v>#N/A</v>
      </c>
      <c r="I10" s="107"/>
      <c r="J10" s="110">
        <f t="shared" si="2"/>
        <v>0</v>
      </c>
      <c r="K10" s="107">
        <v>4</v>
      </c>
      <c r="L10" s="107">
        <v>4</v>
      </c>
      <c r="M10" s="107">
        <v>4</v>
      </c>
      <c r="N10" s="107">
        <v>4</v>
      </c>
      <c r="O10" s="111">
        <f t="shared" si="3"/>
        <v>1</v>
      </c>
      <c r="P10" s="112" t="e">
        <f t="shared" si="4"/>
        <v>#N/A</v>
      </c>
      <c r="Q10" s="113"/>
      <c r="R10" s="114" t="e">
        <f t="shared" si="5"/>
        <v>#N/A</v>
      </c>
    </row>
    <row r="11" spans="1:18" ht="15">
      <c r="A11" s="104"/>
      <c r="B11" s="105" t="e">
        <f>VLOOKUP(D11,Formler!$A:$D,2,FALSE)</f>
        <v>#N/A</v>
      </c>
      <c r="C11" s="106" t="e">
        <f>VLOOKUP(D11,Formler!$A:$D,3,FALSE)</f>
        <v>#N/A</v>
      </c>
      <c r="D11" s="107"/>
      <c r="E11" s="106" t="e">
        <f>VLOOKUP(D11,Formler!$Q:$S,3,FALSE)</f>
        <v>#N/A</v>
      </c>
      <c r="F11" s="107"/>
      <c r="G11" s="108">
        <f t="shared" si="0"/>
        <v>0</v>
      </c>
      <c r="H11" s="109" t="e">
        <f t="shared" si="1"/>
        <v>#N/A</v>
      </c>
      <c r="I11" s="107"/>
      <c r="J11" s="110">
        <f t="shared" si="2"/>
        <v>0</v>
      </c>
      <c r="K11" s="107">
        <v>4</v>
      </c>
      <c r="L11" s="107">
        <v>4</v>
      </c>
      <c r="M11" s="107">
        <v>4</v>
      </c>
      <c r="N11" s="107">
        <v>4</v>
      </c>
      <c r="O11" s="111">
        <f t="shared" si="3"/>
        <v>1</v>
      </c>
      <c r="P11" s="112" t="e">
        <f t="shared" si="4"/>
        <v>#N/A</v>
      </c>
      <c r="Q11" s="113"/>
      <c r="R11" s="114" t="e">
        <f t="shared" si="5"/>
        <v>#N/A</v>
      </c>
    </row>
    <row r="12" spans="1:18" ht="15">
      <c r="A12" s="104"/>
      <c r="B12" s="105" t="e">
        <f>VLOOKUP(D12,Formler!$A:$D,2,FALSE)</f>
        <v>#N/A</v>
      </c>
      <c r="C12" s="106" t="e">
        <f>VLOOKUP(D12,Formler!$A:$D,3,FALSE)</f>
        <v>#N/A</v>
      </c>
      <c r="D12" s="107"/>
      <c r="E12" s="106" t="e">
        <f>VLOOKUP(D12,Formler!$Q:$S,3,FALSE)</f>
        <v>#N/A</v>
      </c>
      <c r="F12" s="107"/>
      <c r="G12" s="108">
        <f t="shared" si="0"/>
        <v>0</v>
      </c>
      <c r="H12" s="109" t="e">
        <f t="shared" si="1"/>
        <v>#N/A</v>
      </c>
      <c r="I12" s="107"/>
      <c r="J12" s="110">
        <f t="shared" si="2"/>
        <v>0</v>
      </c>
      <c r="K12" s="107">
        <v>4</v>
      </c>
      <c r="L12" s="107">
        <v>4</v>
      </c>
      <c r="M12" s="107">
        <v>4</v>
      </c>
      <c r="N12" s="107">
        <v>4</v>
      </c>
      <c r="O12" s="111">
        <f t="shared" si="3"/>
        <v>1</v>
      </c>
      <c r="P12" s="112" t="e">
        <f t="shared" si="4"/>
        <v>#N/A</v>
      </c>
      <c r="Q12" s="113"/>
      <c r="R12" s="114" t="e">
        <f t="shared" si="5"/>
        <v>#N/A</v>
      </c>
    </row>
    <row r="13" spans="1:18" ht="15">
      <c r="A13" s="104"/>
      <c r="B13" s="105" t="e">
        <f>VLOOKUP(D13,Formler!$A:$D,2,FALSE)</f>
        <v>#N/A</v>
      </c>
      <c r="C13" s="106" t="e">
        <f>VLOOKUP(D13,Formler!$A:$D,3,FALSE)</f>
        <v>#N/A</v>
      </c>
      <c r="D13" s="107"/>
      <c r="E13" s="106" t="e">
        <f>VLOOKUP(D13,Formler!$Q:$S,3,FALSE)</f>
        <v>#N/A</v>
      </c>
      <c r="F13" s="107"/>
      <c r="G13" s="108">
        <f t="shared" si="0"/>
        <v>0</v>
      </c>
      <c r="H13" s="109" t="e">
        <f t="shared" si="1"/>
        <v>#N/A</v>
      </c>
      <c r="I13" s="107"/>
      <c r="J13" s="110">
        <f t="shared" si="2"/>
        <v>0</v>
      </c>
      <c r="K13" s="107">
        <v>4</v>
      </c>
      <c r="L13" s="107">
        <v>4</v>
      </c>
      <c r="M13" s="107">
        <v>4</v>
      </c>
      <c r="N13" s="107">
        <v>4</v>
      </c>
      <c r="O13" s="111">
        <f t="shared" si="3"/>
        <v>1</v>
      </c>
      <c r="P13" s="112" t="e">
        <f t="shared" si="4"/>
        <v>#N/A</v>
      </c>
      <c r="Q13" s="113"/>
      <c r="R13" s="114" t="e">
        <f t="shared" si="5"/>
        <v>#N/A</v>
      </c>
    </row>
    <row r="14" spans="1:18" ht="15">
      <c r="A14" s="104"/>
      <c r="B14" s="105" t="e">
        <f>VLOOKUP(D14,Formler!$A:$D,2,FALSE)</f>
        <v>#N/A</v>
      </c>
      <c r="C14" s="106" t="e">
        <f>VLOOKUP(D14,Formler!$A:$D,3,FALSE)</f>
        <v>#N/A</v>
      </c>
      <c r="D14" s="107"/>
      <c r="E14" s="106" t="e">
        <f>VLOOKUP(D14,Formler!$Q:$S,3,FALSE)</f>
        <v>#N/A</v>
      </c>
      <c r="F14" s="107"/>
      <c r="G14" s="108">
        <f t="shared" si="0"/>
        <v>0</v>
      </c>
      <c r="H14" s="109" t="e">
        <f t="shared" si="1"/>
        <v>#N/A</v>
      </c>
      <c r="I14" s="107"/>
      <c r="J14" s="110">
        <f t="shared" si="2"/>
        <v>0</v>
      </c>
      <c r="K14" s="107">
        <v>4</v>
      </c>
      <c r="L14" s="107">
        <v>4</v>
      </c>
      <c r="M14" s="107">
        <v>4</v>
      </c>
      <c r="N14" s="107">
        <v>4</v>
      </c>
      <c r="O14" s="111">
        <f t="shared" si="3"/>
        <v>1</v>
      </c>
      <c r="P14" s="112" t="e">
        <f t="shared" si="4"/>
        <v>#N/A</v>
      </c>
      <c r="Q14" s="113"/>
      <c r="R14" s="114" t="e">
        <f t="shared" si="5"/>
        <v>#N/A</v>
      </c>
    </row>
    <row r="15" spans="1:18" ht="15">
      <c r="A15" s="104"/>
      <c r="B15" s="105" t="e">
        <f>VLOOKUP(D15,Formler!$A:$D,2,FALSE)</f>
        <v>#N/A</v>
      </c>
      <c r="C15" s="106" t="e">
        <f>VLOOKUP(D15,Formler!$A:$D,3,FALSE)</f>
        <v>#N/A</v>
      </c>
      <c r="D15" s="107"/>
      <c r="E15" s="106" t="e">
        <f>VLOOKUP(D15,Formler!$Q:$S,3,FALSE)</f>
        <v>#N/A</v>
      </c>
      <c r="F15" s="107"/>
      <c r="G15" s="108">
        <f t="shared" si="0"/>
        <v>0</v>
      </c>
      <c r="H15" s="109" t="e">
        <f t="shared" si="1"/>
        <v>#N/A</v>
      </c>
      <c r="I15" s="107"/>
      <c r="J15" s="110">
        <f t="shared" si="2"/>
        <v>0</v>
      </c>
      <c r="K15" s="107">
        <v>4</v>
      </c>
      <c r="L15" s="107">
        <v>4</v>
      </c>
      <c r="M15" s="107">
        <v>4</v>
      </c>
      <c r="N15" s="107">
        <v>4</v>
      </c>
      <c r="O15" s="111">
        <f t="shared" si="3"/>
        <v>1</v>
      </c>
      <c r="P15" s="112" t="e">
        <f t="shared" si="4"/>
        <v>#N/A</v>
      </c>
      <c r="Q15" s="113"/>
      <c r="R15" s="114" t="e">
        <f t="shared" si="5"/>
        <v>#N/A</v>
      </c>
    </row>
    <row r="16" spans="1:18" ht="15">
      <c r="A16" s="104"/>
      <c r="B16" s="105" t="e">
        <f>VLOOKUP(D16,Formler!$A:$D,2,FALSE)</f>
        <v>#N/A</v>
      </c>
      <c r="C16" s="106" t="e">
        <f>VLOOKUP(D16,Formler!$A:$D,3,FALSE)</f>
        <v>#N/A</v>
      </c>
      <c r="D16" s="107"/>
      <c r="E16" s="106" t="e">
        <f>VLOOKUP(D16,Formler!$Q:$S,3,FALSE)</f>
        <v>#N/A</v>
      </c>
      <c r="F16" s="107"/>
      <c r="G16" s="108">
        <f t="shared" si="0"/>
        <v>0</v>
      </c>
      <c r="H16" s="109" t="e">
        <f t="shared" si="1"/>
        <v>#N/A</v>
      </c>
      <c r="I16" s="107"/>
      <c r="J16" s="110">
        <f t="shared" si="2"/>
        <v>0</v>
      </c>
      <c r="K16" s="107">
        <v>4</v>
      </c>
      <c r="L16" s="107">
        <v>4</v>
      </c>
      <c r="M16" s="107">
        <v>4</v>
      </c>
      <c r="N16" s="107">
        <v>4</v>
      </c>
      <c r="O16" s="111">
        <f t="shared" si="3"/>
        <v>1</v>
      </c>
      <c r="P16" s="112" t="e">
        <f t="shared" si="4"/>
        <v>#N/A</v>
      </c>
      <c r="Q16" s="113"/>
      <c r="R16" s="114" t="e">
        <f t="shared" si="5"/>
        <v>#N/A</v>
      </c>
    </row>
    <row r="17" spans="2:18" ht="15">
      <c r="B17" s="105" t="e">
        <f>VLOOKUP(D17,Formler!$A:$D,2,FALSE)</f>
        <v>#N/A</v>
      </c>
      <c r="C17" s="106" t="e">
        <f>VLOOKUP(D17,Formler!$A:$D,3,FALSE)</f>
        <v>#N/A</v>
      </c>
      <c r="D17" s="107"/>
      <c r="E17" s="106" t="e">
        <f>VLOOKUP(D17,Formler!$Q:$S,3,FALSE)</f>
        <v>#N/A</v>
      </c>
      <c r="F17" s="107"/>
      <c r="G17" s="108">
        <f t="shared" si="0"/>
        <v>0</v>
      </c>
      <c r="H17" s="109" t="e">
        <f t="shared" si="1"/>
        <v>#N/A</v>
      </c>
      <c r="I17" s="107"/>
      <c r="J17" s="110">
        <f t="shared" si="2"/>
        <v>0</v>
      </c>
      <c r="K17" s="107">
        <v>4</v>
      </c>
      <c r="L17" s="107">
        <v>4</v>
      </c>
      <c r="M17" s="107">
        <v>4</v>
      </c>
      <c r="N17" s="107">
        <v>4</v>
      </c>
      <c r="O17" s="111">
        <f t="shared" si="3"/>
        <v>1</v>
      </c>
      <c r="P17" s="112" t="e">
        <f t="shared" si="4"/>
        <v>#N/A</v>
      </c>
      <c r="Q17" s="113"/>
      <c r="R17" s="114" t="e">
        <f t="shared" si="5"/>
        <v>#N/A</v>
      </c>
    </row>
    <row r="18" spans="2:18" ht="15">
      <c r="B18" s="105" t="e">
        <f>VLOOKUP(D18,Formler!$A:$D,2,FALSE)</f>
        <v>#N/A</v>
      </c>
      <c r="C18" s="106" t="e">
        <f>VLOOKUP(D18,Formler!$A:$D,3,FALSE)</f>
        <v>#N/A</v>
      </c>
      <c r="D18" s="107"/>
      <c r="E18" s="106" t="e">
        <f>VLOOKUP(D18,Formler!$Q:$S,3,FALSE)</f>
        <v>#N/A</v>
      </c>
      <c r="F18" s="107"/>
      <c r="G18" s="108">
        <f t="shared" si="0"/>
        <v>0</v>
      </c>
      <c r="H18" s="109" t="e">
        <f t="shared" si="1"/>
        <v>#N/A</v>
      </c>
      <c r="I18" s="107"/>
      <c r="J18" s="110">
        <f t="shared" si="2"/>
        <v>0</v>
      </c>
      <c r="K18" s="107">
        <v>4</v>
      </c>
      <c r="L18" s="107">
        <v>4</v>
      </c>
      <c r="M18" s="107">
        <v>4</v>
      </c>
      <c r="N18" s="107">
        <v>4</v>
      </c>
      <c r="O18" s="111">
        <f t="shared" si="3"/>
        <v>1</v>
      </c>
      <c r="P18" s="112" t="e">
        <f t="shared" si="4"/>
        <v>#N/A</v>
      </c>
      <c r="Q18" s="113"/>
      <c r="R18" s="114" t="e">
        <f t="shared" si="5"/>
        <v>#N/A</v>
      </c>
    </row>
    <row r="19" spans="2:18" ht="15">
      <c r="B19" s="105" t="e">
        <f>VLOOKUP(D19,Formler!$A:$D,2,FALSE)</f>
        <v>#N/A</v>
      </c>
      <c r="C19" s="106" t="e">
        <f>VLOOKUP(D19,Formler!$A:$D,3,FALSE)</f>
        <v>#N/A</v>
      </c>
      <c r="D19" s="107"/>
      <c r="E19" s="106" t="e">
        <f>VLOOKUP(D19,Formler!$Q:$S,3,FALSE)</f>
        <v>#N/A</v>
      </c>
      <c r="F19" s="107"/>
      <c r="G19" s="108">
        <f t="shared" si="0"/>
        <v>0</v>
      </c>
      <c r="H19" s="109" t="e">
        <f t="shared" si="1"/>
        <v>#N/A</v>
      </c>
      <c r="I19" s="107"/>
      <c r="J19" s="110">
        <f t="shared" si="2"/>
        <v>0</v>
      </c>
      <c r="K19" s="107">
        <v>4</v>
      </c>
      <c r="L19" s="107">
        <v>4</v>
      </c>
      <c r="M19" s="107">
        <v>4</v>
      </c>
      <c r="N19" s="107">
        <v>4</v>
      </c>
      <c r="O19" s="111">
        <f t="shared" si="3"/>
        <v>1</v>
      </c>
      <c r="P19" s="112" t="e">
        <f t="shared" si="4"/>
        <v>#N/A</v>
      </c>
      <c r="Q19" s="113"/>
      <c r="R19" s="114" t="e">
        <f t="shared" si="5"/>
        <v>#N/A</v>
      </c>
    </row>
    <row r="20" spans="2:18" ht="15">
      <c r="B20" s="105" t="e">
        <f>VLOOKUP(D20,Formler!$A:$D,2,FALSE)</f>
        <v>#N/A</v>
      </c>
      <c r="C20" s="106" t="e">
        <f>VLOOKUP(D20,Formler!$A:$D,3,FALSE)</f>
        <v>#N/A</v>
      </c>
      <c r="D20" s="107"/>
      <c r="E20" s="106" t="e">
        <f>VLOOKUP(D20,Formler!$Q:$S,3,FALSE)</f>
        <v>#N/A</v>
      </c>
      <c r="F20" s="107"/>
      <c r="G20" s="108">
        <f t="shared" si="0"/>
        <v>0</v>
      </c>
      <c r="H20" s="109" t="e">
        <f t="shared" si="1"/>
        <v>#N/A</v>
      </c>
      <c r="I20" s="107"/>
      <c r="J20" s="110">
        <f t="shared" si="2"/>
        <v>0</v>
      </c>
      <c r="K20" s="107">
        <v>4</v>
      </c>
      <c r="L20" s="107">
        <v>4</v>
      </c>
      <c r="M20" s="107">
        <v>4</v>
      </c>
      <c r="N20" s="107">
        <v>4</v>
      </c>
      <c r="O20" s="111">
        <f t="shared" si="3"/>
        <v>1</v>
      </c>
      <c r="P20" s="112" t="e">
        <f t="shared" si="4"/>
        <v>#N/A</v>
      </c>
      <c r="Q20" s="113"/>
      <c r="R20" s="114" t="e">
        <f t="shared" si="5"/>
        <v>#N/A</v>
      </c>
    </row>
    <row r="21" spans="2:18" ht="15">
      <c r="B21" s="105" t="e">
        <f>VLOOKUP(D21,Formler!$A:$D,2,FALSE)</f>
        <v>#N/A</v>
      </c>
      <c r="C21" s="106" t="e">
        <f>VLOOKUP(D21,Formler!$A:$D,3,FALSE)</f>
        <v>#N/A</v>
      </c>
      <c r="D21" s="107"/>
      <c r="E21" s="106" t="e">
        <f>VLOOKUP(D21,Formler!$Q:$S,3,FALSE)</f>
        <v>#N/A</v>
      </c>
      <c r="F21" s="107"/>
      <c r="G21" s="108">
        <f t="shared" si="0"/>
        <v>0</v>
      </c>
      <c r="H21" s="109" t="e">
        <f t="shared" si="1"/>
        <v>#N/A</v>
      </c>
      <c r="I21" s="107"/>
      <c r="J21" s="110">
        <f t="shared" si="2"/>
        <v>0</v>
      </c>
      <c r="K21" s="107">
        <v>4</v>
      </c>
      <c r="L21" s="107">
        <v>4</v>
      </c>
      <c r="M21" s="107">
        <v>4</v>
      </c>
      <c r="N21" s="107">
        <v>4</v>
      </c>
      <c r="O21" s="111">
        <f t="shared" si="3"/>
        <v>1</v>
      </c>
      <c r="P21" s="112" t="e">
        <f t="shared" si="4"/>
        <v>#N/A</v>
      </c>
      <c r="Q21" s="113"/>
      <c r="R21" s="114" t="e">
        <f t="shared" si="5"/>
        <v>#N/A</v>
      </c>
    </row>
    <row r="22" spans="2:18" ht="15">
      <c r="B22" s="105" t="e">
        <f>VLOOKUP(D22,Formler!$A:$D,2,FALSE)</f>
        <v>#N/A</v>
      </c>
      <c r="C22" s="106" t="e">
        <f>VLOOKUP(D22,Formler!$A:$D,3,FALSE)</f>
        <v>#N/A</v>
      </c>
      <c r="D22" s="107"/>
      <c r="E22" s="106" t="e">
        <f>VLOOKUP(D22,Formler!$Q:$S,3,FALSE)</f>
        <v>#N/A</v>
      </c>
      <c r="F22" s="107"/>
      <c r="G22" s="108">
        <f t="shared" si="0"/>
        <v>0</v>
      </c>
      <c r="H22" s="109" t="e">
        <f t="shared" si="1"/>
        <v>#N/A</v>
      </c>
      <c r="I22" s="107"/>
      <c r="J22" s="110">
        <f t="shared" si="2"/>
        <v>0</v>
      </c>
      <c r="K22" s="107">
        <v>4</v>
      </c>
      <c r="L22" s="107">
        <v>4</v>
      </c>
      <c r="M22" s="107">
        <v>4</v>
      </c>
      <c r="N22" s="107">
        <v>4</v>
      </c>
      <c r="O22" s="111">
        <f t="shared" si="3"/>
        <v>1</v>
      </c>
      <c r="P22" s="112" t="e">
        <f t="shared" si="4"/>
        <v>#N/A</v>
      </c>
      <c r="Q22" s="113"/>
      <c r="R22" s="114" t="e">
        <f t="shared" si="5"/>
        <v>#N/A</v>
      </c>
    </row>
    <row r="23" spans="2:18" ht="15">
      <c r="B23" s="105" t="e">
        <f>VLOOKUP(D23,Formler!$A:$D,2,FALSE)</f>
        <v>#N/A</v>
      </c>
      <c r="C23" s="106" t="e">
        <f>VLOOKUP(D23,Formler!$A:$D,3,FALSE)</f>
        <v>#N/A</v>
      </c>
      <c r="D23" s="107"/>
      <c r="E23" s="106" t="e">
        <f>VLOOKUP(D23,Formler!$Q:$S,3,FALSE)</f>
        <v>#N/A</v>
      </c>
      <c r="F23" s="107"/>
      <c r="G23" s="108">
        <f t="shared" si="0"/>
        <v>0</v>
      </c>
      <c r="H23" s="109" t="e">
        <f t="shared" si="1"/>
        <v>#N/A</v>
      </c>
      <c r="I23" s="107"/>
      <c r="J23" s="110">
        <f t="shared" si="2"/>
        <v>0</v>
      </c>
      <c r="K23" s="107">
        <v>4</v>
      </c>
      <c r="L23" s="107">
        <v>4</v>
      </c>
      <c r="M23" s="107">
        <v>4</v>
      </c>
      <c r="N23" s="107">
        <v>4</v>
      </c>
      <c r="O23" s="111">
        <f t="shared" si="3"/>
        <v>1</v>
      </c>
      <c r="P23" s="112" t="e">
        <f t="shared" si="4"/>
        <v>#N/A</v>
      </c>
      <c r="Q23" s="113"/>
      <c r="R23" s="114" t="e">
        <f t="shared" si="5"/>
        <v>#N/A</v>
      </c>
    </row>
    <row r="24" spans="2:18" ht="15">
      <c r="B24" s="105" t="e">
        <f>VLOOKUP(D24,Formler!$A:$D,2,FALSE)</f>
        <v>#N/A</v>
      </c>
      <c r="C24" s="106" t="e">
        <f>VLOOKUP(D24,Formler!$A:$D,3,FALSE)</f>
        <v>#N/A</v>
      </c>
      <c r="D24" s="107"/>
      <c r="E24" s="106" t="e">
        <f>VLOOKUP(D24,Formler!$Q:$S,3,FALSE)</f>
        <v>#N/A</v>
      </c>
      <c r="F24" s="107"/>
      <c r="G24" s="108">
        <f t="shared" si="0"/>
        <v>0</v>
      </c>
      <c r="H24" s="109" t="e">
        <f>G24*E24</f>
        <v>#N/A</v>
      </c>
      <c r="I24" s="107"/>
      <c r="J24" s="110">
        <f t="shared" si="2"/>
        <v>0</v>
      </c>
      <c r="K24" s="107">
        <v>4</v>
      </c>
      <c r="L24" s="107">
        <v>4</v>
      </c>
      <c r="M24" s="107">
        <v>4</v>
      </c>
      <c r="N24" s="107">
        <v>4</v>
      </c>
      <c r="O24" s="111">
        <f t="shared" si="3"/>
        <v>1</v>
      </c>
      <c r="P24" s="112" t="e">
        <f t="shared" si="4"/>
        <v>#N/A</v>
      </c>
      <c r="Q24" s="113"/>
      <c r="R24" s="114" t="e">
        <f t="shared" si="5"/>
        <v>#N/A</v>
      </c>
    </row>
    <row r="25" spans="2:18" ht="15">
      <c r="B25" s="105" t="e">
        <f>VLOOKUP(D25,Formler!$A:$D,2,FALSE)</f>
        <v>#N/A</v>
      </c>
      <c r="C25" s="106" t="e">
        <f>VLOOKUP(D25,Formler!$A:$D,3,FALSE)</f>
        <v>#N/A</v>
      </c>
      <c r="D25" s="107"/>
      <c r="E25" s="106" t="e">
        <f>VLOOKUP(D25,Formler!$Q:$S,3,FALSE)</f>
        <v>#N/A</v>
      </c>
      <c r="F25" s="107"/>
      <c r="G25" s="108">
        <f t="shared" si="0"/>
        <v>0</v>
      </c>
      <c r="H25" s="109" t="e">
        <f t="shared" ref="H25:H31" si="6">G25*E25</f>
        <v>#N/A</v>
      </c>
      <c r="I25" s="107"/>
      <c r="J25" s="110">
        <f t="shared" si="2"/>
        <v>0</v>
      </c>
      <c r="K25" s="107">
        <v>4</v>
      </c>
      <c r="L25" s="107">
        <v>4</v>
      </c>
      <c r="M25" s="107">
        <v>4</v>
      </c>
      <c r="N25" s="107">
        <v>4</v>
      </c>
      <c r="O25" s="111">
        <f t="shared" si="3"/>
        <v>1</v>
      </c>
      <c r="P25" s="112" t="e">
        <f t="shared" si="4"/>
        <v>#N/A</v>
      </c>
      <c r="Q25" s="113"/>
      <c r="R25" s="114" t="e">
        <f t="shared" si="5"/>
        <v>#N/A</v>
      </c>
    </row>
    <row r="26" spans="2:18" ht="15">
      <c r="B26" s="105" t="e">
        <f>VLOOKUP(D26,Formler!$A:$D,2,FALSE)</f>
        <v>#N/A</v>
      </c>
      <c r="C26" s="106" t="e">
        <f>VLOOKUP(D26,Formler!$A:$D,3,FALSE)</f>
        <v>#N/A</v>
      </c>
      <c r="D26" s="107"/>
      <c r="E26" s="106" t="e">
        <f>VLOOKUP(D26,Formler!$Q:$S,3,FALSE)</f>
        <v>#N/A</v>
      </c>
      <c r="F26" s="107"/>
      <c r="G26" s="108">
        <f t="shared" si="0"/>
        <v>0</v>
      </c>
      <c r="H26" s="109" t="e">
        <f t="shared" si="6"/>
        <v>#N/A</v>
      </c>
      <c r="I26" s="107"/>
      <c r="J26" s="110">
        <f t="shared" si="2"/>
        <v>0</v>
      </c>
      <c r="K26" s="107">
        <v>4</v>
      </c>
      <c r="L26" s="107">
        <v>4</v>
      </c>
      <c r="M26" s="107">
        <v>4</v>
      </c>
      <c r="N26" s="107">
        <v>4</v>
      </c>
      <c r="O26" s="111">
        <f t="shared" si="3"/>
        <v>1</v>
      </c>
      <c r="P26" s="112" t="e">
        <f t="shared" si="4"/>
        <v>#N/A</v>
      </c>
      <c r="Q26" s="113"/>
      <c r="R26" s="114" t="e">
        <f t="shared" si="5"/>
        <v>#N/A</v>
      </c>
    </row>
    <row r="27" spans="2:18" ht="15">
      <c r="B27" s="105" t="e">
        <f>VLOOKUP(D27,Formler!$A:$D,2,FALSE)</f>
        <v>#N/A</v>
      </c>
      <c r="C27" s="106" t="e">
        <f>VLOOKUP(D27,Formler!$A:$D,3,FALSE)</f>
        <v>#N/A</v>
      </c>
      <c r="D27" s="107"/>
      <c r="E27" s="106" t="e">
        <f>VLOOKUP(D27,Formler!$Q:$S,3,FALSE)</f>
        <v>#N/A</v>
      </c>
      <c r="F27" s="107"/>
      <c r="G27" s="108">
        <f t="shared" si="0"/>
        <v>0</v>
      </c>
      <c r="H27" s="109" t="e">
        <f t="shared" si="6"/>
        <v>#N/A</v>
      </c>
      <c r="I27" s="107"/>
      <c r="J27" s="110">
        <f t="shared" si="2"/>
        <v>0</v>
      </c>
      <c r="K27" s="107">
        <v>4</v>
      </c>
      <c r="L27" s="107">
        <v>4</v>
      </c>
      <c r="M27" s="107">
        <v>4</v>
      </c>
      <c r="N27" s="107">
        <v>4</v>
      </c>
      <c r="O27" s="111">
        <f t="shared" si="3"/>
        <v>1</v>
      </c>
      <c r="P27" s="112" t="e">
        <f t="shared" si="4"/>
        <v>#N/A</v>
      </c>
      <c r="Q27" s="113"/>
      <c r="R27" s="114" t="e">
        <f t="shared" si="5"/>
        <v>#N/A</v>
      </c>
    </row>
    <row r="28" spans="2:18" ht="15">
      <c r="B28" s="105" t="e">
        <f>VLOOKUP(D28,Formler!$A:$D,2,FALSE)</f>
        <v>#N/A</v>
      </c>
      <c r="C28" s="106" t="e">
        <f>VLOOKUP(D28,Formler!$A:$D,3,FALSE)</f>
        <v>#N/A</v>
      </c>
      <c r="D28" s="107"/>
      <c r="E28" s="106" t="e">
        <f>VLOOKUP(D28,Formler!$Q:$S,3,FALSE)</f>
        <v>#N/A</v>
      </c>
      <c r="F28" s="107"/>
      <c r="G28" s="108">
        <f t="shared" si="0"/>
        <v>0</v>
      </c>
      <c r="H28" s="109" t="e">
        <f t="shared" si="6"/>
        <v>#N/A</v>
      </c>
      <c r="I28" s="107"/>
      <c r="J28" s="110">
        <f t="shared" si="2"/>
        <v>0</v>
      </c>
      <c r="K28" s="107">
        <v>4</v>
      </c>
      <c r="L28" s="107">
        <v>4</v>
      </c>
      <c r="M28" s="107">
        <v>4</v>
      </c>
      <c r="N28" s="107">
        <v>4</v>
      </c>
      <c r="O28" s="111">
        <f t="shared" si="3"/>
        <v>1</v>
      </c>
      <c r="P28" s="112" t="e">
        <f t="shared" si="4"/>
        <v>#N/A</v>
      </c>
      <c r="Q28" s="113"/>
      <c r="R28" s="114" t="e">
        <f t="shared" si="5"/>
        <v>#N/A</v>
      </c>
    </row>
    <row r="29" spans="2:18" ht="15">
      <c r="B29" s="105" t="e">
        <f>VLOOKUP(D29,Formler!$A:$D,2,FALSE)</f>
        <v>#N/A</v>
      </c>
      <c r="C29" s="106" t="e">
        <f>VLOOKUP(D29,Formler!$A:$D,3,FALSE)</f>
        <v>#N/A</v>
      </c>
      <c r="D29" s="107"/>
      <c r="E29" s="106" t="e">
        <f>VLOOKUP(D29,Formler!$Q:$S,3,FALSE)</f>
        <v>#N/A</v>
      </c>
      <c r="F29" s="107"/>
      <c r="G29" s="108">
        <f t="shared" si="0"/>
        <v>0</v>
      </c>
      <c r="H29" s="109" t="e">
        <f t="shared" si="6"/>
        <v>#N/A</v>
      </c>
      <c r="I29" s="107"/>
      <c r="J29" s="110">
        <f t="shared" si="2"/>
        <v>0</v>
      </c>
      <c r="K29" s="107">
        <v>4</v>
      </c>
      <c r="L29" s="107">
        <v>4</v>
      </c>
      <c r="M29" s="107">
        <v>4</v>
      </c>
      <c r="N29" s="107">
        <v>4</v>
      </c>
      <c r="O29" s="111">
        <f t="shared" si="3"/>
        <v>1</v>
      </c>
      <c r="P29" s="112" t="e">
        <f t="shared" si="4"/>
        <v>#N/A</v>
      </c>
      <c r="Q29" s="113"/>
      <c r="R29" s="114" t="e">
        <f t="shared" si="5"/>
        <v>#N/A</v>
      </c>
    </row>
    <row r="30" spans="2:18" ht="15">
      <c r="B30" s="105" t="e">
        <f>VLOOKUP(D30,Formler!$A:$D,2,FALSE)</f>
        <v>#N/A</v>
      </c>
      <c r="C30" s="106" t="e">
        <f>VLOOKUP(D30,Formler!$A:$D,3,FALSE)</f>
        <v>#N/A</v>
      </c>
      <c r="D30" s="107"/>
      <c r="E30" s="106" t="e">
        <f>VLOOKUP(D30,Formler!$Q:$S,3,FALSE)</f>
        <v>#N/A</v>
      </c>
      <c r="F30" s="107"/>
      <c r="G30" s="108">
        <f t="shared" si="0"/>
        <v>0</v>
      </c>
      <c r="H30" s="109" t="e">
        <f t="shared" si="6"/>
        <v>#N/A</v>
      </c>
      <c r="I30" s="107"/>
      <c r="J30" s="110">
        <f t="shared" si="2"/>
        <v>0</v>
      </c>
      <c r="K30" s="107">
        <v>4</v>
      </c>
      <c r="L30" s="107">
        <v>4</v>
      </c>
      <c r="M30" s="107">
        <v>4</v>
      </c>
      <c r="N30" s="107">
        <v>4</v>
      </c>
      <c r="O30" s="111">
        <f t="shared" si="3"/>
        <v>1</v>
      </c>
      <c r="P30" s="112" t="e">
        <f t="shared" si="4"/>
        <v>#N/A</v>
      </c>
      <c r="Q30" s="113"/>
      <c r="R30" s="114" t="e">
        <f t="shared" si="5"/>
        <v>#N/A</v>
      </c>
    </row>
    <row r="31" spans="2:18" ht="15">
      <c r="B31" s="105" t="e">
        <f>VLOOKUP(D31,Formler!$A:$D,2,FALSE)</f>
        <v>#N/A</v>
      </c>
      <c r="C31" s="106" t="e">
        <f>VLOOKUP(D31,Formler!$A:$D,3,FALSE)</f>
        <v>#N/A</v>
      </c>
      <c r="D31" s="107"/>
      <c r="E31" s="106" t="e">
        <f>VLOOKUP(D31,Formler!$Q:$S,3,FALSE)</f>
        <v>#N/A</v>
      </c>
      <c r="F31" s="107"/>
      <c r="G31" s="108">
        <f t="shared" si="0"/>
        <v>0</v>
      </c>
      <c r="H31" s="109" t="e">
        <f t="shared" si="6"/>
        <v>#N/A</v>
      </c>
      <c r="I31" s="107"/>
      <c r="J31" s="110">
        <f t="shared" si="2"/>
        <v>0</v>
      </c>
      <c r="K31" s="107">
        <v>4</v>
      </c>
      <c r="L31" s="107">
        <v>4</v>
      </c>
      <c r="M31" s="107">
        <v>4</v>
      </c>
      <c r="N31" s="107">
        <v>4</v>
      </c>
      <c r="O31" s="111">
        <f t="shared" si="3"/>
        <v>1</v>
      </c>
      <c r="P31" s="112" t="e">
        <f t="shared" si="4"/>
        <v>#N/A</v>
      </c>
      <c r="Q31" s="113"/>
      <c r="R31" s="114" t="e">
        <f t="shared" si="5"/>
        <v>#N/A</v>
      </c>
    </row>
    <row r="32" spans="2:18" ht="15">
      <c r="B32" s="105" t="e">
        <f>VLOOKUP(D32,Formler!$A:$D,2,FALSE)</f>
        <v>#N/A</v>
      </c>
      <c r="C32" s="106" t="e">
        <f>VLOOKUP(D32,Formler!$A:$D,3,FALSE)</f>
        <v>#N/A</v>
      </c>
      <c r="D32" s="107"/>
      <c r="E32" s="106" t="e">
        <f>VLOOKUP(D32,Formler!$Q:$S,3,FALSE)</f>
        <v>#N/A</v>
      </c>
      <c r="F32" s="107"/>
      <c r="G32" s="108">
        <f t="shared" si="0"/>
        <v>0</v>
      </c>
      <c r="H32" s="109" t="e">
        <f t="shared" ref="H32" si="7">G32*E32</f>
        <v>#N/A</v>
      </c>
      <c r="I32" s="107"/>
      <c r="J32" s="110">
        <f t="shared" si="2"/>
        <v>0</v>
      </c>
      <c r="K32" s="107">
        <v>4</v>
      </c>
      <c r="L32" s="107">
        <v>4</v>
      </c>
      <c r="M32" s="107">
        <v>4</v>
      </c>
      <c r="N32" s="107">
        <v>4</v>
      </c>
      <c r="O32" s="111">
        <f t="shared" ref="O32" si="8">(SUM(K32:N32)/16)</f>
        <v>1</v>
      </c>
      <c r="P32" s="112" t="e">
        <f t="shared" si="4"/>
        <v>#N/A</v>
      </c>
      <c r="Q32" s="113"/>
      <c r="R32" s="114" t="e">
        <f t="shared" si="5"/>
        <v>#N/A</v>
      </c>
    </row>
    <row r="33" spans="2:18" ht="15">
      <c r="B33" s="105" t="e">
        <f>VLOOKUP(D33,Formler!$A:$D,2,FALSE)</f>
        <v>#N/A</v>
      </c>
      <c r="C33" s="106" t="e">
        <f>VLOOKUP(D33,Formler!$A:$D,3,FALSE)</f>
        <v>#N/A</v>
      </c>
      <c r="D33" s="107"/>
      <c r="E33" s="106" t="e">
        <f>VLOOKUP(D33,Formler!$Q:$S,3,FALSE)</f>
        <v>#N/A</v>
      </c>
      <c r="F33" s="107"/>
      <c r="G33" s="108">
        <f t="shared" si="0"/>
        <v>0</v>
      </c>
      <c r="H33" s="109" t="e">
        <f t="shared" ref="H33:H61" si="9">G33*E33</f>
        <v>#N/A</v>
      </c>
      <c r="I33" s="107"/>
      <c r="J33" s="110">
        <f t="shared" si="2"/>
        <v>0</v>
      </c>
      <c r="K33" s="107">
        <v>4</v>
      </c>
      <c r="L33" s="107">
        <v>4</v>
      </c>
      <c r="M33" s="107">
        <v>4</v>
      </c>
      <c r="N33" s="107">
        <v>4</v>
      </c>
      <c r="O33" s="111">
        <f t="shared" ref="O33:O61" si="10">(SUM(K33:N33)/16)</f>
        <v>1</v>
      </c>
      <c r="P33" s="112" t="e">
        <f t="shared" si="4"/>
        <v>#N/A</v>
      </c>
      <c r="Q33" s="113"/>
      <c r="R33" s="114" t="e">
        <f t="shared" si="5"/>
        <v>#N/A</v>
      </c>
    </row>
    <row r="34" spans="2:18" ht="15">
      <c r="B34" s="105" t="e">
        <f>VLOOKUP(D34,Formler!$A:$D,2,FALSE)</f>
        <v>#N/A</v>
      </c>
      <c r="C34" s="106" t="e">
        <f>VLOOKUP(D34,Formler!$A:$D,3,FALSE)</f>
        <v>#N/A</v>
      </c>
      <c r="D34" s="107"/>
      <c r="E34" s="106" t="e">
        <f>VLOOKUP(D34,Formler!$Q:$S,3,FALSE)</f>
        <v>#N/A</v>
      </c>
      <c r="F34" s="107"/>
      <c r="G34" s="108">
        <f t="shared" si="0"/>
        <v>0</v>
      </c>
      <c r="H34" s="109" t="e">
        <f t="shared" si="9"/>
        <v>#N/A</v>
      </c>
      <c r="I34" s="107"/>
      <c r="J34" s="110">
        <f t="shared" si="2"/>
        <v>0</v>
      </c>
      <c r="K34" s="107">
        <v>4</v>
      </c>
      <c r="L34" s="107">
        <v>4</v>
      </c>
      <c r="M34" s="107">
        <v>4</v>
      </c>
      <c r="N34" s="107">
        <v>4</v>
      </c>
      <c r="O34" s="111">
        <f t="shared" si="10"/>
        <v>1</v>
      </c>
      <c r="P34" s="112" t="e">
        <f t="shared" si="4"/>
        <v>#N/A</v>
      </c>
      <c r="Q34" s="113"/>
      <c r="R34" s="114" t="e">
        <f t="shared" si="5"/>
        <v>#N/A</v>
      </c>
    </row>
    <row r="35" spans="2:18" ht="15">
      <c r="B35" s="105" t="e">
        <f>VLOOKUP(D35,Formler!$A:$D,2,FALSE)</f>
        <v>#N/A</v>
      </c>
      <c r="C35" s="106" t="e">
        <f>VLOOKUP(D35,Formler!$A:$D,3,FALSE)</f>
        <v>#N/A</v>
      </c>
      <c r="D35" s="107"/>
      <c r="E35" s="106" t="e">
        <f>VLOOKUP(D35,Formler!$Q:$S,3,FALSE)</f>
        <v>#N/A</v>
      </c>
      <c r="F35" s="107"/>
      <c r="G35" s="108">
        <f t="shared" si="0"/>
        <v>0</v>
      </c>
      <c r="H35" s="109" t="e">
        <f t="shared" si="9"/>
        <v>#N/A</v>
      </c>
      <c r="I35" s="107"/>
      <c r="J35" s="110">
        <f t="shared" si="2"/>
        <v>0</v>
      </c>
      <c r="K35" s="107">
        <v>4</v>
      </c>
      <c r="L35" s="107">
        <v>4</v>
      </c>
      <c r="M35" s="107">
        <v>4</v>
      </c>
      <c r="N35" s="107">
        <v>4</v>
      </c>
      <c r="O35" s="111">
        <f t="shared" si="10"/>
        <v>1</v>
      </c>
      <c r="P35" s="112" t="e">
        <f t="shared" si="4"/>
        <v>#N/A</v>
      </c>
      <c r="Q35" s="113"/>
      <c r="R35" s="114" t="e">
        <f t="shared" si="5"/>
        <v>#N/A</v>
      </c>
    </row>
    <row r="36" spans="2:18" ht="15">
      <c r="B36" s="105" t="e">
        <f>VLOOKUP(D36,Formler!$A:$D,2,FALSE)</f>
        <v>#N/A</v>
      </c>
      <c r="C36" s="106" t="e">
        <f>VLOOKUP(D36,Formler!$A:$D,3,FALSE)</f>
        <v>#N/A</v>
      </c>
      <c r="D36" s="107"/>
      <c r="E36" s="106" t="e">
        <f>VLOOKUP(D36,Formler!$Q:$S,3,FALSE)</f>
        <v>#N/A</v>
      </c>
      <c r="F36" s="107"/>
      <c r="G36" s="108">
        <f t="shared" si="0"/>
        <v>0</v>
      </c>
      <c r="H36" s="109" t="e">
        <f t="shared" si="9"/>
        <v>#N/A</v>
      </c>
      <c r="I36" s="107"/>
      <c r="J36" s="110">
        <f t="shared" si="2"/>
        <v>0</v>
      </c>
      <c r="K36" s="107">
        <v>4</v>
      </c>
      <c r="L36" s="107">
        <v>4</v>
      </c>
      <c r="M36" s="107">
        <v>4</v>
      </c>
      <c r="N36" s="107">
        <v>4</v>
      </c>
      <c r="O36" s="111">
        <f t="shared" si="10"/>
        <v>1</v>
      </c>
      <c r="P36" s="112" t="e">
        <f t="shared" si="4"/>
        <v>#N/A</v>
      </c>
      <c r="Q36" s="113"/>
      <c r="R36" s="114" t="e">
        <f t="shared" si="5"/>
        <v>#N/A</v>
      </c>
    </row>
    <row r="37" spans="2:18" ht="15">
      <c r="B37" s="105" t="e">
        <f>VLOOKUP(D37,Formler!$A:$D,2,FALSE)</f>
        <v>#N/A</v>
      </c>
      <c r="C37" s="106" t="e">
        <f>VLOOKUP(D37,Formler!$A:$D,3,FALSE)</f>
        <v>#N/A</v>
      </c>
      <c r="D37" s="107"/>
      <c r="E37" s="106" t="e">
        <f>VLOOKUP(D37,Formler!$Q:$S,3,FALSE)</f>
        <v>#N/A</v>
      </c>
      <c r="F37" s="107"/>
      <c r="G37" s="108">
        <f t="shared" si="0"/>
        <v>0</v>
      </c>
      <c r="H37" s="109" t="e">
        <f t="shared" si="9"/>
        <v>#N/A</v>
      </c>
      <c r="I37" s="107"/>
      <c r="J37" s="110">
        <f t="shared" si="2"/>
        <v>0</v>
      </c>
      <c r="K37" s="107">
        <v>4</v>
      </c>
      <c r="L37" s="107">
        <v>4</v>
      </c>
      <c r="M37" s="107">
        <v>4</v>
      </c>
      <c r="N37" s="107">
        <v>4</v>
      </c>
      <c r="O37" s="111">
        <f t="shared" si="10"/>
        <v>1</v>
      </c>
      <c r="P37" s="112" t="e">
        <f t="shared" si="4"/>
        <v>#N/A</v>
      </c>
      <c r="Q37" s="113"/>
      <c r="R37" s="114" t="e">
        <f t="shared" si="5"/>
        <v>#N/A</v>
      </c>
    </row>
    <row r="38" spans="2:18" ht="15">
      <c r="B38" s="105" t="e">
        <f>VLOOKUP(D38,Formler!$A:$D,2,FALSE)</f>
        <v>#N/A</v>
      </c>
      <c r="C38" s="106" t="e">
        <f>VLOOKUP(D38,Formler!$A:$D,3,FALSE)</f>
        <v>#N/A</v>
      </c>
      <c r="D38" s="107"/>
      <c r="E38" s="106" t="e">
        <f>VLOOKUP(D38,Formler!$Q:$S,3,FALSE)</f>
        <v>#N/A</v>
      </c>
      <c r="F38" s="107"/>
      <c r="G38" s="108">
        <f t="shared" si="0"/>
        <v>0</v>
      </c>
      <c r="H38" s="109" t="e">
        <f t="shared" si="9"/>
        <v>#N/A</v>
      </c>
      <c r="I38" s="107"/>
      <c r="J38" s="110">
        <f t="shared" si="2"/>
        <v>0</v>
      </c>
      <c r="K38" s="107">
        <v>4</v>
      </c>
      <c r="L38" s="107">
        <v>4</v>
      </c>
      <c r="M38" s="107">
        <v>4</v>
      </c>
      <c r="N38" s="107">
        <v>4</v>
      </c>
      <c r="O38" s="111">
        <f t="shared" si="10"/>
        <v>1</v>
      </c>
      <c r="P38" s="112" t="e">
        <f t="shared" si="4"/>
        <v>#N/A</v>
      </c>
      <c r="Q38" s="113"/>
      <c r="R38" s="114" t="e">
        <f t="shared" si="5"/>
        <v>#N/A</v>
      </c>
    </row>
    <row r="39" spans="2:18" ht="15">
      <c r="B39" s="105" t="e">
        <f>VLOOKUP(D39,Formler!$A:$D,2,FALSE)</f>
        <v>#N/A</v>
      </c>
      <c r="C39" s="106" t="e">
        <f>VLOOKUP(D39,Formler!$A:$D,3,FALSE)</f>
        <v>#N/A</v>
      </c>
      <c r="D39" s="107"/>
      <c r="E39" s="106" t="e">
        <f>VLOOKUP(D39,Formler!$Q:$S,3,FALSE)</f>
        <v>#N/A</v>
      </c>
      <c r="F39" s="107"/>
      <c r="G39" s="108">
        <f t="shared" si="0"/>
        <v>0</v>
      </c>
      <c r="H39" s="109" t="e">
        <f t="shared" si="9"/>
        <v>#N/A</v>
      </c>
      <c r="I39" s="107"/>
      <c r="J39" s="110">
        <f t="shared" si="2"/>
        <v>0</v>
      </c>
      <c r="K39" s="107">
        <v>4</v>
      </c>
      <c r="L39" s="107">
        <v>4</v>
      </c>
      <c r="M39" s="107">
        <v>4</v>
      </c>
      <c r="N39" s="107">
        <v>4</v>
      </c>
      <c r="O39" s="111">
        <f t="shared" si="10"/>
        <v>1</v>
      </c>
      <c r="P39" s="112" t="e">
        <f t="shared" si="4"/>
        <v>#N/A</v>
      </c>
      <c r="Q39" s="113"/>
      <c r="R39" s="114" t="e">
        <f t="shared" si="5"/>
        <v>#N/A</v>
      </c>
    </row>
    <row r="40" spans="2:18" ht="15">
      <c r="B40" s="105" t="e">
        <f>VLOOKUP(D40,Formler!$A:$D,2,FALSE)</f>
        <v>#N/A</v>
      </c>
      <c r="C40" s="106" t="e">
        <f>VLOOKUP(D40,Formler!$A:$D,3,FALSE)</f>
        <v>#N/A</v>
      </c>
      <c r="D40" s="107"/>
      <c r="E40" s="106" t="e">
        <f>VLOOKUP(D40,Formler!$Q:$S,3,FALSE)</f>
        <v>#N/A</v>
      </c>
      <c r="F40" s="107"/>
      <c r="G40" s="108">
        <f t="shared" si="0"/>
        <v>0</v>
      </c>
      <c r="H40" s="109" t="e">
        <f t="shared" si="9"/>
        <v>#N/A</v>
      </c>
      <c r="I40" s="107"/>
      <c r="J40" s="110">
        <f t="shared" si="2"/>
        <v>0</v>
      </c>
      <c r="K40" s="107">
        <v>4</v>
      </c>
      <c r="L40" s="107">
        <v>4</v>
      </c>
      <c r="M40" s="107">
        <v>4</v>
      </c>
      <c r="N40" s="107">
        <v>4</v>
      </c>
      <c r="O40" s="111">
        <f t="shared" si="10"/>
        <v>1</v>
      </c>
      <c r="P40" s="112" t="e">
        <f t="shared" si="4"/>
        <v>#N/A</v>
      </c>
      <c r="Q40" s="113"/>
      <c r="R40" s="114" t="e">
        <f t="shared" si="5"/>
        <v>#N/A</v>
      </c>
    </row>
    <row r="41" spans="2:18" ht="15">
      <c r="B41" s="105" t="e">
        <f>VLOOKUP(D41,Formler!$A:$D,2,FALSE)</f>
        <v>#N/A</v>
      </c>
      <c r="C41" s="106" t="e">
        <f>VLOOKUP(D41,Formler!$A:$D,3,FALSE)</f>
        <v>#N/A</v>
      </c>
      <c r="D41" s="107"/>
      <c r="E41" s="106" t="e">
        <f>VLOOKUP(D41,Formler!$Q:$S,3,FALSE)</f>
        <v>#N/A</v>
      </c>
      <c r="F41" s="107"/>
      <c r="G41" s="108">
        <f t="shared" si="0"/>
        <v>0</v>
      </c>
      <c r="H41" s="109" t="e">
        <f t="shared" si="9"/>
        <v>#N/A</v>
      </c>
      <c r="I41" s="107"/>
      <c r="J41" s="110">
        <f t="shared" si="2"/>
        <v>0</v>
      </c>
      <c r="K41" s="107">
        <v>4</v>
      </c>
      <c r="L41" s="107">
        <v>4</v>
      </c>
      <c r="M41" s="107">
        <v>4</v>
      </c>
      <c r="N41" s="107">
        <v>4</v>
      </c>
      <c r="O41" s="111">
        <f t="shared" si="10"/>
        <v>1</v>
      </c>
      <c r="P41" s="112" t="e">
        <f t="shared" si="4"/>
        <v>#N/A</v>
      </c>
      <c r="Q41" s="113"/>
      <c r="R41" s="114" t="e">
        <f t="shared" si="5"/>
        <v>#N/A</v>
      </c>
    </row>
    <row r="42" spans="2:18" ht="15">
      <c r="B42" s="105" t="e">
        <f>VLOOKUP(D42,Formler!$A:$D,2,FALSE)</f>
        <v>#N/A</v>
      </c>
      <c r="C42" s="106" t="e">
        <f>VLOOKUP(D42,Formler!$A:$D,3,FALSE)</f>
        <v>#N/A</v>
      </c>
      <c r="D42" s="107"/>
      <c r="E42" s="106" t="e">
        <f>VLOOKUP(D42,Formler!$Q:$S,3,FALSE)</f>
        <v>#N/A</v>
      </c>
      <c r="F42" s="107"/>
      <c r="G42" s="108">
        <f t="shared" si="0"/>
        <v>0</v>
      </c>
      <c r="H42" s="109" t="e">
        <f t="shared" si="9"/>
        <v>#N/A</v>
      </c>
      <c r="I42" s="107"/>
      <c r="J42" s="110">
        <f t="shared" si="2"/>
        <v>0</v>
      </c>
      <c r="K42" s="107">
        <v>4</v>
      </c>
      <c r="L42" s="107">
        <v>4</v>
      </c>
      <c r="M42" s="107">
        <v>4</v>
      </c>
      <c r="N42" s="107">
        <v>4</v>
      </c>
      <c r="O42" s="111">
        <f t="shared" si="10"/>
        <v>1</v>
      </c>
      <c r="P42" s="112" t="e">
        <f t="shared" si="4"/>
        <v>#N/A</v>
      </c>
      <c r="Q42" s="113"/>
      <c r="R42" s="114" t="e">
        <f t="shared" si="5"/>
        <v>#N/A</v>
      </c>
    </row>
    <row r="43" spans="2:18" ht="15">
      <c r="B43" s="105" t="e">
        <f>VLOOKUP(D43,Formler!$A:$D,2,FALSE)</f>
        <v>#N/A</v>
      </c>
      <c r="C43" s="106" t="e">
        <f>VLOOKUP(D43,Formler!$A:$D,3,FALSE)</f>
        <v>#N/A</v>
      </c>
      <c r="D43" s="107"/>
      <c r="E43" s="106" t="e">
        <f>VLOOKUP(D43,Formler!$Q:$S,3,FALSE)</f>
        <v>#N/A</v>
      </c>
      <c r="F43" s="107"/>
      <c r="G43" s="108">
        <f t="shared" si="0"/>
        <v>0</v>
      </c>
      <c r="H43" s="109" t="e">
        <f t="shared" si="9"/>
        <v>#N/A</v>
      </c>
      <c r="I43" s="107"/>
      <c r="J43" s="110">
        <f t="shared" si="2"/>
        <v>0</v>
      </c>
      <c r="K43" s="107">
        <v>4</v>
      </c>
      <c r="L43" s="107">
        <v>4</v>
      </c>
      <c r="M43" s="107">
        <v>4</v>
      </c>
      <c r="N43" s="107">
        <v>4</v>
      </c>
      <c r="O43" s="111">
        <f t="shared" si="10"/>
        <v>1</v>
      </c>
      <c r="P43" s="112" t="e">
        <f t="shared" si="4"/>
        <v>#N/A</v>
      </c>
      <c r="Q43" s="113"/>
      <c r="R43" s="114" t="e">
        <f t="shared" si="5"/>
        <v>#N/A</v>
      </c>
    </row>
    <row r="44" spans="2:18" ht="15">
      <c r="B44" s="105" t="e">
        <f>VLOOKUP(D44,Formler!$A:$D,2,FALSE)</f>
        <v>#N/A</v>
      </c>
      <c r="C44" s="106" t="e">
        <f>VLOOKUP(D44,Formler!$A:$D,3,FALSE)</f>
        <v>#N/A</v>
      </c>
      <c r="D44" s="107"/>
      <c r="E44" s="106" t="e">
        <f>VLOOKUP(D44,Formler!$Q:$S,3,FALSE)</f>
        <v>#N/A</v>
      </c>
      <c r="F44" s="107"/>
      <c r="G44" s="108">
        <f t="shared" si="0"/>
        <v>0</v>
      </c>
      <c r="H44" s="109" t="e">
        <f t="shared" si="9"/>
        <v>#N/A</v>
      </c>
      <c r="I44" s="107"/>
      <c r="J44" s="110">
        <f t="shared" si="2"/>
        <v>0</v>
      </c>
      <c r="K44" s="107">
        <v>4</v>
      </c>
      <c r="L44" s="107">
        <v>4</v>
      </c>
      <c r="M44" s="107">
        <v>4</v>
      </c>
      <c r="N44" s="107">
        <v>4</v>
      </c>
      <c r="O44" s="111">
        <f t="shared" si="10"/>
        <v>1</v>
      </c>
      <c r="P44" s="112" t="e">
        <f t="shared" si="4"/>
        <v>#N/A</v>
      </c>
      <c r="Q44" s="113"/>
      <c r="R44" s="114" t="e">
        <f t="shared" si="5"/>
        <v>#N/A</v>
      </c>
    </row>
    <row r="45" spans="2:18" ht="15">
      <c r="B45" s="105" t="e">
        <f>VLOOKUP(D45,Formler!$A:$D,2,FALSE)</f>
        <v>#N/A</v>
      </c>
      <c r="C45" s="106" t="e">
        <f>VLOOKUP(D45,Formler!$A:$D,3,FALSE)</f>
        <v>#N/A</v>
      </c>
      <c r="D45" s="107"/>
      <c r="E45" s="106" t="e">
        <f>VLOOKUP(D45,Formler!$Q:$S,3,FALSE)</f>
        <v>#N/A</v>
      </c>
      <c r="F45" s="107"/>
      <c r="G45" s="108">
        <f t="shared" si="0"/>
        <v>0</v>
      </c>
      <c r="H45" s="109" t="e">
        <f t="shared" si="9"/>
        <v>#N/A</v>
      </c>
      <c r="I45" s="107"/>
      <c r="J45" s="110">
        <f t="shared" si="2"/>
        <v>0</v>
      </c>
      <c r="K45" s="107">
        <v>4</v>
      </c>
      <c r="L45" s="107">
        <v>4</v>
      </c>
      <c r="M45" s="107">
        <v>4</v>
      </c>
      <c r="N45" s="107">
        <v>4</v>
      </c>
      <c r="O45" s="111">
        <f t="shared" si="10"/>
        <v>1</v>
      </c>
      <c r="P45" s="112" t="e">
        <f t="shared" si="4"/>
        <v>#N/A</v>
      </c>
      <c r="Q45" s="113"/>
      <c r="R45" s="114" t="e">
        <f t="shared" si="5"/>
        <v>#N/A</v>
      </c>
    </row>
    <row r="46" spans="2:18" ht="15">
      <c r="B46" s="105" t="e">
        <f>VLOOKUP(D46,Formler!$A:$D,2,FALSE)</f>
        <v>#N/A</v>
      </c>
      <c r="C46" s="106" t="e">
        <f>VLOOKUP(D46,Formler!$A:$D,3,FALSE)</f>
        <v>#N/A</v>
      </c>
      <c r="D46" s="107"/>
      <c r="E46" s="106" t="e">
        <f>VLOOKUP(D46,Formler!$Q:$S,3,FALSE)</f>
        <v>#N/A</v>
      </c>
      <c r="F46" s="107"/>
      <c r="G46" s="108">
        <f t="shared" si="0"/>
        <v>0</v>
      </c>
      <c r="H46" s="109" t="e">
        <f t="shared" si="9"/>
        <v>#N/A</v>
      </c>
      <c r="I46" s="107"/>
      <c r="J46" s="110">
        <f t="shared" si="2"/>
        <v>0</v>
      </c>
      <c r="K46" s="107">
        <v>4</v>
      </c>
      <c r="L46" s="107">
        <v>4</v>
      </c>
      <c r="M46" s="107">
        <v>4</v>
      </c>
      <c r="N46" s="107">
        <v>4</v>
      </c>
      <c r="O46" s="111">
        <f t="shared" si="10"/>
        <v>1</v>
      </c>
      <c r="P46" s="112" t="e">
        <f t="shared" si="4"/>
        <v>#N/A</v>
      </c>
      <c r="Q46" s="113"/>
      <c r="R46" s="114" t="e">
        <f t="shared" si="5"/>
        <v>#N/A</v>
      </c>
    </row>
    <row r="47" spans="2:18" ht="15">
      <c r="B47" s="105" t="e">
        <f>VLOOKUP(D47,Formler!$A:$D,2,FALSE)</f>
        <v>#N/A</v>
      </c>
      <c r="C47" s="106" t="e">
        <f>VLOOKUP(D47,Formler!$A:$D,3,FALSE)</f>
        <v>#N/A</v>
      </c>
      <c r="D47" s="107"/>
      <c r="E47" s="106" t="e">
        <f>VLOOKUP(D47,Formler!$Q:$S,3,FALSE)</f>
        <v>#N/A</v>
      </c>
      <c r="F47" s="107"/>
      <c r="G47" s="108">
        <f t="shared" si="0"/>
        <v>0</v>
      </c>
      <c r="H47" s="109" t="e">
        <f t="shared" si="9"/>
        <v>#N/A</v>
      </c>
      <c r="I47" s="107"/>
      <c r="J47" s="110">
        <f t="shared" si="2"/>
        <v>0</v>
      </c>
      <c r="K47" s="107">
        <v>4</v>
      </c>
      <c r="L47" s="107">
        <v>4</v>
      </c>
      <c r="M47" s="107">
        <v>4</v>
      </c>
      <c r="N47" s="107">
        <v>4</v>
      </c>
      <c r="O47" s="111">
        <f t="shared" si="10"/>
        <v>1</v>
      </c>
      <c r="P47" s="112" t="e">
        <f t="shared" si="4"/>
        <v>#N/A</v>
      </c>
      <c r="Q47" s="113"/>
      <c r="R47" s="114" t="e">
        <f t="shared" si="5"/>
        <v>#N/A</v>
      </c>
    </row>
    <row r="48" spans="2:18" ht="15">
      <c r="B48" s="105" t="e">
        <f>VLOOKUP(D48,Formler!$A:$D,2,FALSE)</f>
        <v>#N/A</v>
      </c>
      <c r="C48" s="106" t="e">
        <f>VLOOKUP(D48,Formler!$A:$D,3,FALSE)</f>
        <v>#N/A</v>
      </c>
      <c r="D48" s="107"/>
      <c r="E48" s="106" t="e">
        <f>VLOOKUP(D48,Formler!$Q:$S,3,FALSE)</f>
        <v>#N/A</v>
      </c>
      <c r="F48" s="107"/>
      <c r="G48" s="108">
        <f t="shared" si="0"/>
        <v>0</v>
      </c>
      <c r="H48" s="109" t="e">
        <f t="shared" si="9"/>
        <v>#N/A</v>
      </c>
      <c r="I48" s="107"/>
      <c r="J48" s="110">
        <f t="shared" si="2"/>
        <v>0</v>
      </c>
      <c r="K48" s="107">
        <v>4</v>
      </c>
      <c r="L48" s="107">
        <v>4</v>
      </c>
      <c r="M48" s="107">
        <v>4</v>
      </c>
      <c r="N48" s="107">
        <v>4</v>
      </c>
      <c r="O48" s="111">
        <f t="shared" si="10"/>
        <v>1</v>
      </c>
      <c r="P48" s="112" t="e">
        <f t="shared" si="4"/>
        <v>#N/A</v>
      </c>
      <c r="Q48" s="113"/>
      <c r="R48" s="114" t="e">
        <f t="shared" si="5"/>
        <v>#N/A</v>
      </c>
    </row>
    <row r="49" spans="2:18" ht="15">
      <c r="B49" s="105" t="e">
        <f>VLOOKUP(D49,Formler!$A:$D,2,FALSE)</f>
        <v>#N/A</v>
      </c>
      <c r="C49" s="106" t="e">
        <f>VLOOKUP(D49,Formler!$A:$D,3,FALSE)</f>
        <v>#N/A</v>
      </c>
      <c r="D49" s="107"/>
      <c r="E49" s="106" t="e">
        <f>VLOOKUP(D49,Formler!$Q:$S,3,FALSE)</f>
        <v>#N/A</v>
      </c>
      <c r="F49" s="107"/>
      <c r="G49" s="108">
        <f t="shared" si="0"/>
        <v>0</v>
      </c>
      <c r="H49" s="109" t="e">
        <f t="shared" si="9"/>
        <v>#N/A</v>
      </c>
      <c r="I49" s="107"/>
      <c r="J49" s="110">
        <f t="shared" si="2"/>
        <v>0</v>
      </c>
      <c r="K49" s="107">
        <v>4</v>
      </c>
      <c r="L49" s="107">
        <v>4</v>
      </c>
      <c r="M49" s="107">
        <v>4</v>
      </c>
      <c r="N49" s="107">
        <v>4</v>
      </c>
      <c r="O49" s="111">
        <f t="shared" si="10"/>
        <v>1</v>
      </c>
      <c r="P49" s="112" t="e">
        <f t="shared" si="4"/>
        <v>#N/A</v>
      </c>
      <c r="Q49" s="113"/>
      <c r="R49" s="114" t="e">
        <f t="shared" si="5"/>
        <v>#N/A</v>
      </c>
    </row>
    <row r="50" spans="2:18" ht="15">
      <c r="B50" s="105" t="e">
        <f>VLOOKUP(D50,Formler!$A:$D,2,FALSE)</f>
        <v>#N/A</v>
      </c>
      <c r="C50" s="106" t="e">
        <f>VLOOKUP(D50,Formler!$A:$D,3,FALSE)</f>
        <v>#N/A</v>
      </c>
      <c r="D50" s="107"/>
      <c r="E50" s="106" t="e">
        <f>VLOOKUP(D50,Formler!$Q:$S,3,FALSE)</f>
        <v>#N/A</v>
      </c>
      <c r="F50" s="107"/>
      <c r="G50" s="108">
        <f t="shared" si="0"/>
        <v>0</v>
      </c>
      <c r="H50" s="109" t="e">
        <f t="shared" si="9"/>
        <v>#N/A</v>
      </c>
      <c r="I50" s="107"/>
      <c r="J50" s="110">
        <f t="shared" si="2"/>
        <v>0</v>
      </c>
      <c r="K50" s="107">
        <v>4</v>
      </c>
      <c r="L50" s="107">
        <v>4</v>
      </c>
      <c r="M50" s="107">
        <v>4</v>
      </c>
      <c r="N50" s="107">
        <v>4</v>
      </c>
      <c r="O50" s="111">
        <f t="shared" si="10"/>
        <v>1</v>
      </c>
      <c r="P50" s="112" t="e">
        <f t="shared" si="4"/>
        <v>#N/A</v>
      </c>
      <c r="Q50" s="113"/>
      <c r="R50" s="114" t="e">
        <f t="shared" si="5"/>
        <v>#N/A</v>
      </c>
    </row>
    <row r="51" spans="2:18" ht="15">
      <c r="B51" s="105" t="e">
        <f>VLOOKUP(D51,Formler!$A:$D,2,FALSE)</f>
        <v>#N/A</v>
      </c>
      <c r="C51" s="106" t="e">
        <f>VLOOKUP(D51,Formler!$A:$D,3,FALSE)</f>
        <v>#N/A</v>
      </c>
      <c r="D51" s="107"/>
      <c r="E51" s="106" t="e">
        <f>VLOOKUP(D51,Formler!$Q:$S,3,FALSE)</f>
        <v>#N/A</v>
      </c>
      <c r="F51" s="107"/>
      <c r="G51" s="108">
        <f t="shared" si="0"/>
        <v>0</v>
      </c>
      <c r="H51" s="109" t="e">
        <f t="shared" si="9"/>
        <v>#N/A</v>
      </c>
      <c r="I51" s="107"/>
      <c r="J51" s="110">
        <f t="shared" si="2"/>
        <v>0</v>
      </c>
      <c r="K51" s="107">
        <v>4</v>
      </c>
      <c r="L51" s="107">
        <v>4</v>
      </c>
      <c r="M51" s="107">
        <v>4</v>
      </c>
      <c r="N51" s="107">
        <v>4</v>
      </c>
      <c r="O51" s="111">
        <f t="shared" si="10"/>
        <v>1</v>
      </c>
      <c r="P51" s="112" t="e">
        <f t="shared" si="4"/>
        <v>#N/A</v>
      </c>
      <c r="Q51" s="113"/>
      <c r="R51" s="114" t="e">
        <f t="shared" si="5"/>
        <v>#N/A</v>
      </c>
    </row>
    <row r="52" spans="2:18" ht="15">
      <c r="B52" s="105" t="e">
        <f>VLOOKUP(D52,Formler!$A:$D,2,FALSE)</f>
        <v>#N/A</v>
      </c>
      <c r="C52" s="106" t="e">
        <f>VLOOKUP(D52,Formler!$A:$D,3,FALSE)</f>
        <v>#N/A</v>
      </c>
      <c r="D52" s="107"/>
      <c r="E52" s="106" t="e">
        <f>VLOOKUP(D52,Formler!$Q:$S,3,FALSE)</f>
        <v>#N/A</v>
      </c>
      <c r="F52" s="107"/>
      <c r="G52" s="108">
        <f t="shared" si="0"/>
        <v>0</v>
      </c>
      <c r="H52" s="109" t="e">
        <f t="shared" si="9"/>
        <v>#N/A</v>
      </c>
      <c r="I52" s="107"/>
      <c r="J52" s="110">
        <f t="shared" si="2"/>
        <v>0</v>
      </c>
      <c r="K52" s="107">
        <v>4</v>
      </c>
      <c r="L52" s="107">
        <v>4</v>
      </c>
      <c r="M52" s="107">
        <v>4</v>
      </c>
      <c r="N52" s="107">
        <v>4</v>
      </c>
      <c r="O52" s="111">
        <f t="shared" si="10"/>
        <v>1</v>
      </c>
      <c r="P52" s="112" t="e">
        <f t="shared" si="4"/>
        <v>#N/A</v>
      </c>
      <c r="Q52" s="113"/>
      <c r="R52" s="114" t="e">
        <f t="shared" si="5"/>
        <v>#N/A</v>
      </c>
    </row>
    <row r="53" spans="2:18" ht="15">
      <c r="B53" s="105" t="e">
        <f>VLOOKUP(D53,Formler!$A:$D,2,FALSE)</f>
        <v>#N/A</v>
      </c>
      <c r="C53" s="106" t="e">
        <f>VLOOKUP(D53,Formler!$A:$D,3,FALSE)</f>
        <v>#N/A</v>
      </c>
      <c r="D53" s="107"/>
      <c r="E53" s="106" t="e">
        <f>VLOOKUP(D53,Formler!$Q:$S,3,FALSE)</f>
        <v>#N/A</v>
      </c>
      <c r="F53" s="107"/>
      <c r="G53" s="108">
        <f t="shared" si="0"/>
        <v>0</v>
      </c>
      <c r="H53" s="109" t="e">
        <f t="shared" si="9"/>
        <v>#N/A</v>
      </c>
      <c r="I53" s="107"/>
      <c r="J53" s="110">
        <f t="shared" si="2"/>
        <v>0</v>
      </c>
      <c r="K53" s="107">
        <v>4</v>
      </c>
      <c r="L53" s="107">
        <v>4</v>
      </c>
      <c r="M53" s="107">
        <v>4</v>
      </c>
      <c r="N53" s="107">
        <v>4</v>
      </c>
      <c r="O53" s="111">
        <f t="shared" si="10"/>
        <v>1</v>
      </c>
      <c r="P53" s="112" t="e">
        <f t="shared" si="4"/>
        <v>#N/A</v>
      </c>
      <c r="Q53" s="113"/>
      <c r="R53" s="114" t="e">
        <f t="shared" si="5"/>
        <v>#N/A</v>
      </c>
    </row>
    <row r="54" spans="2:18" ht="15">
      <c r="B54" s="105" t="e">
        <f>VLOOKUP(D54,Formler!$A:$D,2,FALSE)</f>
        <v>#N/A</v>
      </c>
      <c r="C54" s="106" t="e">
        <f>VLOOKUP(D54,Formler!$A:$D,3,FALSE)</f>
        <v>#N/A</v>
      </c>
      <c r="D54" s="107"/>
      <c r="E54" s="106" t="e">
        <f>VLOOKUP(D54,Formler!$Q:$S,3,FALSE)</f>
        <v>#N/A</v>
      </c>
      <c r="F54" s="107"/>
      <c r="G54" s="108">
        <f t="shared" si="0"/>
        <v>0</v>
      </c>
      <c r="H54" s="109" t="e">
        <f t="shared" si="9"/>
        <v>#N/A</v>
      </c>
      <c r="I54" s="107"/>
      <c r="J54" s="110">
        <f t="shared" si="2"/>
        <v>0</v>
      </c>
      <c r="K54" s="107">
        <v>4</v>
      </c>
      <c r="L54" s="107">
        <v>4</v>
      </c>
      <c r="M54" s="107">
        <v>4</v>
      </c>
      <c r="N54" s="107">
        <v>4</v>
      </c>
      <c r="O54" s="111">
        <f t="shared" si="10"/>
        <v>1</v>
      </c>
      <c r="P54" s="112" t="e">
        <f t="shared" si="4"/>
        <v>#N/A</v>
      </c>
      <c r="Q54" s="113"/>
      <c r="R54" s="114" t="e">
        <f t="shared" si="5"/>
        <v>#N/A</v>
      </c>
    </row>
    <row r="55" spans="2:18" ht="15">
      <c r="B55" s="105" t="e">
        <f>VLOOKUP(D55,Formler!$A:$D,2,FALSE)</f>
        <v>#N/A</v>
      </c>
      <c r="C55" s="106" t="e">
        <f>VLOOKUP(D55,Formler!$A:$D,3,FALSE)</f>
        <v>#N/A</v>
      </c>
      <c r="D55" s="107"/>
      <c r="E55" s="106" t="e">
        <f>VLOOKUP(D55,Formler!$Q:$S,3,FALSE)</f>
        <v>#N/A</v>
      </c>
      <c r="F55" s="107"/>
      <c r="G55" s="108">
        <f t="shared" si="0"/>
        <v>0</v>
      </c>
      <c r="H55" s="109" t="e">
        <f t="shared" si="9"/>
        <v>#N/A</v>
      </c>
      <c r="I55" s="107"/>
      <c r="J55" s="110">
        <f t="shared" si="2"/>
        <v>0</v>
      </c>
      <c r="K55" s="107">
        <v>4</v>
      </c>
      <c r="L55" s="107">
        <v>4</v>
      </c>
      <c r="M55" s="107">
        <v>4</v>
      </c>
      <c r="N55" s="107">
        <v>4</v>
      </c>
      <c r="O55" s="111">
        <f t="shared" si="10"/>
        <v>1</v>
      </c>
      <c r="P55" s="112" t="e">
        <f t="shared" si="4"/>
        <v>#N/A</v>
      </c>
      <c r="Q55" s="113"/>
      <c r="R55" s="114" t="e">
        <f t="shared" si="5"/>
        <v>#N/A</v>
      </c>
    </row>
    <row r="56" spans="2:18" ht="15">
      <c r="B56" s="105" t="e">
        <f>VLOOKUP(D56,Formler!$A:$D,2,FALSE)</f>
        <v>#N/A</v>
      </c>
      <c r="C56" s="106" t="e">
        <f>VLOOKUP(D56,Formler!$A:$D,3,FALSE)</f>
        <v>#N/A</v>
      </c>
      <c r="D56" s="107"/>
      <c r="E56" s="106" t="e">
        <f>VLOOKUP(D56,Formler!$Q:$S,3,FALSE)</f>
        <v>#N/A</v>
      </c>
      <c r="F56" s="107"/>
      <c r="G56" s="108">
        <f t="shared" si="0"/>
        <v>0</v>
      </c>
      <c r="H56" s="109" t="e">
        <f t="shared" si="9"/>
        <v>#N/A</v>
      </c>
      <c r="I56" s="107"/>
      <c r="J56" s="110">
        <f t="shared" si="2"/>
        <v>0</v>
      </c>
      <c r="K56" s="107">
        <v>4</v>
      </c>
      <c r="L56" s="107">
        <v>4</v>
      </c>
      <c r="M56" s="107">
        <v>4</v>
      </c>
      <c r="N56" s="107">
        <v>4</v>
      </c>
      <c r="O56" s="111">
        <f t="shared" si="10"/>
        <v>1</v>
      </c>
      <c r="P56" s="112" t="e">
        <f t="shared" si="4"/>
        <v>#N/A</v>
      </c>
      <c r="Q56" s="113"/>
      <c r="R56" s="114" t="e">
        <f t="shared" si="5"/>
        <v>#N/A</v>
      </c>
    </row>
    <row r="57" spans="2:18" ht="15">
      <c r="B57" s="105" t="e">
        <f>VLOOKUP(D57,Formler!$A:$D,2,FALSE)</f>
        <v>#N/A</v>
      </c>
      <c r="C57" s="106" t="e">
        <f>VLOOKUP(D57,Formler!$A:$D,3,FALSE)</f>
        <v>#N/A</v>
      </c>
      <c r="D57" s="107"/>
      <c r="E57" s="106" t="e">
        <f>VLOOKUP(D57,Formler!$Q:$S,3,FALSE)</f>
        <v>#N/A</v>
      </c>
      <c r="F57" s="107"/>
      <c r="G57" s="108">
        <f t="shared" si="0"/>
        <v>0</v>
      </c>
      <c r="H57" s="109" t="e">
        <f t="shared" si="9"/>
        <v>#N/A</v>
      </c>
      <c r="I57" s="107"/>
      <c r="J57" s="110">
        <f t="shared" si="2"/>
        <v>0</v>
      </c>
      <c r="K57" s="107">
        <v>4</v>
      </c>
      <c r="L57" s="107">
        <v>4</v>
      </c>
      <c r="M57" s="107">
        <v>4</v>
      </c>
      <c r="N57" s="107">
        <v>4</v>
      </c>
      <c r="O57" s="111">
        <f t="shared" si="10"/>
        <v>1</v>
      </c>
      <c r="P57" s="112" t="e">
        <f t="shared" si="4"/>
        <v>#N/A</v>
      </c>
      <c r="Q57" s="113"/>
      <c r="R57" s="114" t="e">
        <f t="shared" si="5"/>
        <v>#N/A</v>
      </c>
    </row>
    <row r="58" spans="2:18" ht="15">
      <c r="B58" s="105" t="e">
        <f>VLOOKUP(D58,Formler!$A:$D,2,FALSE)</f>
        <v>#N/A</v>
      </c>
      <c r="C58" s="106" t="e">
        <f>VLOOKUP(D58,Formler!$A:$D,3,FALSE)</f>
        <v>#N/A</v>
      </c>
      <c r="D58" s="107"/>
      <c r="E58" s="106" t="e">
        <f>VLOOKUP(D58,Formler!$Q:$S,3,FALSE)</f>
        <v>#N/A</v>
      </c>
      <c r="F58" s="107"/>
      <c r="G58" s="108">
        <f t="shared" si="0"/>
        <v>0</v>
      </c>
      <c r="H58" s="109" t="e">
        <f t="shared" si="9"/>
        <v>#N/A</v>
      </c>
      <c r="I58" s="107"/>
      <c r="J58" s="110">
        <f t="shared" si="2"/>
        <v>0</v>
      </c>
      <c r="K58" s="107">
        <v>4</v>
      </c>
      <c r="L58" s="107">
        <v>4</v>
      </c>
      <c r="M58" s="107">
        <v>4</v>
      </c>
      <c r="N58" s="107">
        <v>4</v>
      </c>
      <c r="O58" s="111">
        <f t="shared" si="10"/>
        <v>1</v>
      </c>
      <c r="P58" s="112" t="e">
        <f t="shared" si="4"/>
        <v>#N/A</v>
      </c>
      <c r="Q58" s="113"/>
      <c r="R58" s="114" t="e">
        <f t="shared" si="5"/>
        <v>#N/A</v>
      </c>
    </row>
    <row r="59" spans="2:18" ht="15">
      <c r="B59" s="105" t="e">
        <f>VLOOKUP(D59,Formler!$A:$D,2,FALSE)</f>
        <v>#N/A</v>
      </c>
      <c r="C59" s="106" t="e">
        <f>VLOOKUP(D59,Formler!$A:$D,3,FALSE)</f>
        <v>#N/A</v>
      </c>
      <c r="D59" s="107"/>
      <c r="E59" s="106" t="e">
        <f>VLOOKUP(D59,Formler!$Q:$S,3,FALSE)</f>
        <v>#N/A</v>
      </c>
      <c r="F59" s="107"/>
      <c r="G59" s="108">
        <f t="shared" si="0"/>
        <v>0</v>
      </c>
      <c r="H59" s="109" t="e">
        <f t="shared" si="9"/>
        <v>#N/A</v>
      </c>
      <c r="I59" s="107"/>
      <c r="J59" s="110">
        <f t="shared" si="2"/>
        <v>0</v>
      </c>
      <c r="K59" s="107">
        <v>4</v>
      </c>
      <c r="L59" s="107">
        <v>4</v>
      </c>
      <c r="M59" s="107">
        <v>4</v>
      </c>
      <c r="N59" s="107">
        <v>4</v>
      </c>
      <c r="O59" s="111">
        <f t="shared" si="10"/>
        <v>1</v>
      </c>
      <c r="P59" s="112" t="e">
        <f t="shared" si="4"/>
        <v>#N/A</v>
      </c>
      <c r="Q59" s="113"/>
      <c r="R59" s="114" t="e">
        <f t="shared" si="5"/>
        <v>#N/A</v>
      </c>
    </row>
    <row r="60" spans="2:18" ht="15">
      <c r="B60" s="105" t="e">
        <f>VLOOKUP(D60,Formler!$A:$D,2,FALSE)</f>
        <v>#N/A</v>
      </c>
      <c r="C60" s="106" t="e">
        <f>VLOOKUP(D60,Formler!$A:$D,3,FALSE)</f>
        <v>#N/A</v>
      </c>
      <c r="D60" s="107"/>
      <c r="E60" s="106" t="e">
        <f>VLOOKUP(D60,Formler!$Q:$S,3,FALSE)</f>
        <v>#N/A</v>
      </c>
      <c r="F60" s="107"/>
      <c r="G60" s="108">
        <f t="shared" si="0"/>
        <v>0</v>
      </c>
      <c r="H60" s="109" t="e">
        <f t="shared" si="9"/>
        <v>#N/A</v>
      </c>
      <c r="I60" s="107"/>
      <c r="J60" s="110">
        <f t="shared" si="2"/>
        <v>0</v>
      </c>
      <c r="K60" s="107">
        <v>4</v>
      </c>
      <c r="L60" s="107">
        <v>4</v>
      </c>
      <c r="M60" s="107">
        <v>4</v>
      </c>
      <c r="N60" s="107">
        <v>4</v>
      </c>
      <c r="O60" s="111">
        <f t="shared" si="10"/>
        <v>1</v>
      </c>
      <c r="P60" s="112" t="e">
        <f t="shared" si="4"/>
        <v>#N/A</v>
      </c>
      <c r="Q60" s="113"/>
      <c r="R60" s="114" t="e">
        <f t="shared" si="5"/>
        <v>#N/A</v>
      </c>
    </row>
    <row r="61" spans="2:18" ht="15">
      <c r="B61" s="105" t="e">
        <f>VLOOKUP(D61,Formler!$A:$D,2,FALSE)</f>
        <v>#N/A</v>
      </c>
      <c r="C61" s="106" t="e">
        <f>VLOOKUP(D61,Formler!$A:$D,3,FALSE)</f>
        <v>#N/A</v>
      </c>
      <c r="D61" s="107"/>
      <c r="E61" s="106" t="e">
        <f>VLOOKUP(D61,Formler!$Q:$S,3,FALSE)</f>
        <v>#N/A</v>
      </c>
      <c r="F61" s="107"/>
      <c r="G61" s="108">
        <f t="shared" si="0"/>
        <v>0</v>
      </c>
      <c r="H61" s="109" t="e">
        <f t="shared" si="9"/>
        <v>#N/A</v>
      </c>
      <c r="I61" s="107"/>
      <c r="J61" s="110">
        <f t="shared" si="2"/>
        <v>0</v>
      </c>
      <c r="K61" s="107">
        <v>4</v>
      </c>
      <c r="L61" s="107">
        <v>4</v>
      </c>
      <c r="M61" s="107">
        <v>4</v>
      </c>
      <c r="N61" s="107">
        <v>4</v>
      </c>
      <c r="O61" s="111">
        <f t="shared" si="10"/>
        <v>1</v>
      </c>
      <c r="P61" s="112" t="e">
        <f t="shared" si="4"/>
        <v>#N/A</v>
      </c>
      <c r="Q61" s="113"/>
      <c r="R61" s="114" t="e">
        <f t="shared" si="5"/>
        <v>#N/A</v>
      </c>
    </row>
    <row r="62" spans="2:18" ht="15">
      <c r="B62" s="105" t="e">
        <f>VLOOKUP(D62,Formler!$A:$D,2,FALSE)</f>
        <v>#N/A</v>
      </c>
      <c r="C62" s="106" t="e">
        <f>VLOOKUP(D62,Formler!$A:$D,3,FALSE)</f>
        <v>#N/A</v>
      </c>
      <c r="D62" s="107"/>
      <c r="E62" s="106" t="e">
        <f>VLOOKUP(D62,Formler!$Q:$S,3,FALSE)</f>
        <v>#N/A</v>
      </c>
      <c r="F62" s="107"/>
      <c r="G62" s="108">
        <f t="shared" si="0"/>
        <v>0</v>
      </c>
      <c r="H62" s="109" t="e">
        <f t="shared" ref="H62:H72" si="11">G62*E62</f>
        <v>#N/A</v>
      </c>
      <c r="I62" s="107"/>
      <c r="J62" s="110">
        <f t="shared" si="2"/>
        <v>0</v>
      </c>
      <c r="K62" s="107">
        <v>4</v>
      </c>
      <c r="L62" s="107">
        <v>4</v>
      </c>
      <c r="M62" s="107">
        <v>4</v>
      </c>
      <c r="N62" s="107">
        <v>4</v>
      </c>
      <c r="O62" s="111">
        <f t="shared" ref="O62:O72" si="12">(SUM(K62:N62)/16)</f>
        <v>1</v>
      </c>
      <c r="P62" s="112" t="e">
        <f t="shared" si="4"/>
        <v>#N/A</v>
      </c>
      <c r="Q62" s="113"/>
      <c r="R62" s="114" t="e">
        <f t="shared" si="5"/>
        <v>#N/A</v>
      </c>
    </row>
    <row r="63" spans="2:18" ht="15">
      <c r="B63" s="105" t="e">
        <f>VLOOKUP(D63,Formler!$A:$D,2,FALSE)</f>
        <v>#N/A</v>
      </c>
      <c r="C63" s="106" t="e">
        <f>VLOOKUP(D63,Formler!$A:$D,3,FALSE)</f>
        <v>#N/A</v>
      </c>
      <c r="D63" s="107"/>
      <c r="E63" s="106" t="e">
        <f>VLOOKUP(D63,Formler!$Q:$S,3,FALSE)</f>
        <v>#N/A</v>
      </c>
      <c r="F63" s="107"/>
      <c r="G63" s="108">
        <f t="shared" si="0"/>
        <v>0</v>
      </c>
      <c r="H63" s="109" t="e">
        <f t="shared" si="11"/>
        <v>#N/A</v>
      </c>
      <c r="I63" s="107"/>
      <c r="J63" s="110">
        <f t="shared" si="2"/>
        <v>0</v>
      </c>
      <c r="K63" s="107">
        <v>4</v>
      </c>
      <c r="L63" s="107">
        <v>4</v>
      </c>
      <c r="M63" s="107">
        <v>4</v>
      </c>
      <c r="N63" s="107">
        <v>4</v>
      </c>
      <c r="O63" s="111">
        <f t="shared" si="12"/>
        <v>1</v>
      </c>
      <c r="P63" s="112" t="e">
        <f t="shared" si="4"/>
        <v>#N/A</v>
      </c>
      <c r="Q63" s="113"/>
      <c r="R63" s="114" t="e">
        <f t="shared" si="5"/>
        <v>#N/A</v>
      </c>
    </row>
    <row r="64" spans="2:18" ht="15">
      <c r="B64" s="105" t="e">
        <f>VLOOKUP(D64,Formler!$A:$D,2,FALSE)</f>
        <v>#N/A</v>
      </c>
      <c r="C64" s="106" t="e">
        <f>VLOOKUP(D64,Formler!$A:$D,3,FALSE)</f>
        <v>#N/A</v>
      </c>
      <c r="D64" s="107"/>
      <c r="E64" s="106" t="e">
        <f>VLOOKUP(D64,Formler!$Q:$S,3,FALSE)</f>
        <v>#N/A</v>
      </c>
      <c r="F64" s="107"/>
      <c r="G64" s="108">
        <f t="shared" si="0"/>
        <v>0</v>
      </c>
      <c r="H64" s="109" t="e">
        <f t="shared" si="11"/>
        <v>#N/A</v>
      </c>
      <c r="I64" s="107"/>
      <c r="J64" s="110">
        <f t="shared" si="2"/>
        <v>0</v>
      </c>
      <c r="K64" s="107">
        <v>4</v>
      </c>
      <c r="L64" s="107">
        <v>4</v>
      </c>
      <c r="M64" s="107">
        <v>4</v>
      </c>
      <c r="N64" s="107">
        <v>4</v>
      </c>
      <c r="O64" s="111">
        <f t="shared" si="12"/>
        <v>1</v>
      </c>
      <c r="P64" s="112" t="e">
        <f t="shared" si="4"/>
        <v>#N/A</v>
      </c>
      <c r="Q64" s="113"/>
      <c r="R64" s="114" t="e">
        <f t="shared" si="5"/>
        <v>#N/A</v>
      </c>
    </row>
    <row r="65" spans="2:18" ht="15">
      <c r="B65" s="105" t="e">
        <f>VLOOKUP(D65,Formler!$A:$D,2,FALSE)</f>
        <v>#N/A</v>
      </c>
      <c r="C65" s="106" t="e">
        <f>VLOOKUP(D65,Formler!$A:$D,3,FALSE)</f>
        <v>#N/A</v>
      </c>
      <c r="D65" s="107"/>
      <c r="E65" s="106" t="e">
        <f>VLOOKUP(D65,Formler!$Q:$S,3,FALSE)</f>
        <v>#N/A</v>
      </c>
      <c r="F65" s="107"/>
      <c r="G65" s="108">
        <f t="shared" si="0"/>
        <v>0</v>
      </c>
      <c r="H65" s="109" t="e">
        <f t="shared" si="11"/>
        <v>#N/A</v>
      </c>
      <c r="I65" s="107"/>
      <c r="J65" s="110">
        <f t="shared" si="2"/>
        <v>0</v>
      </c>
      <c r="K65" s="107">
        <v>4</v>
      </c>
      <c r="L65" s="107">
        <v>4</v>
      </c>
      <c r="M65" s="107">
        <v>4</v>
      </c>
      <c r="N65" s="107">
        <v>4</v>
      </c>
      <c r="O65" s="111">
        <f t="shared" si="12"/>
        <v>1</v>
      </c>
      <c r="P65" s="112" t="e">
        <f t="shared" si="4"/>
        <v>#N/A</v>
      </c>
      <c r="Q65" s="113"/>
      <c r="R65" s="114" t="e">
        <f t="shared" si="5"/>
        <v>#N/A</v>
      </c>
    </row>
    <row r="66" spans="2:18" ht="15">
      <c r="B66" s="105" t="e">
        <f>VLOOKUP(D66,Formler!$A:$D,2,FALSE)</f>
        <v>#N/A</v>
      </c>
      <c r="C66" s="106" t="e">
        <f>VLOOKUP(D66,Formler!$A:$D,3,FALSE)</f>
        <v>#N/A</v>
      </c>
      <c r="D66" s="107"/>
      <c r="E66" s="106" t="e">
        <f>VLOOKUP(D66,Formler!$Q:$S,3,FALSE)</f>
        <v>#N/A</v>
      </c>
      <c r="F66" s="107"/>
      <c r="G66" s="108">
        <f t="shared" si="0"/>
        <v>0</v>
      </c>
      <c r="H66" s="109" t="e">
        <f t="shared" si="11"/>
        <v>#N/A</v>
      </c>
      <c r="I66" s="107"/>
      <c r="J66" s="110">
        <f t="shared" si="2"/>
        <v>0</v>
      </c>
      <c r="K66" s="107">
        <v>4</v>
      </c>
      <c r="L66" s="107">
        <v>4</v>
      </c>
      <c r="M66" s="107">
        <v>4</v>
      </c>
      <c r="N66" s="107">
        <v>4</v>
      </c>
      <c r="O66" s="111">
        <f t="shared" si="12"/>
        <v>1</v>
      </c>
      <c r="P66" s="112" t="e">
        <f t="shared" si="4"/>
        <v>#N/A</v>
      </c>
      <c r="Q66" s="113"/>
      <c r="R66" s="114" t="e">
        <f t="shared" si="5"/>
        <v>#N/A</v>
      </c>
    </row>
    <row r="67" spans="2:18" ht="15">
      <c r="B67" s="105" t="e">
        <f>VLOOKUP(D67,Formler!$A:$D,2,FALSE)</f>
        <v>#N/A</v>
      </c>
      <c r="C67" s="106" t="e">
        <f>VLOOKUP(D67,Formler!$A:$D,3,FALSE)</f>
        <v>#N/A</v>
      </c>
      <c r="D67" s="107"/>
      <c r="E67" s="106" t="e">
        <f>VLOOKUP(D67,Formler!$Q:$S,3,FALSE)</f>
        <v>#N/A</v>
      </c>
      <c r="F67" s="107"/>
      <c r="G67" s="108">
        <f t="shared" si="0"/>
        <v>0</v>
      </c>
      <c r="H67" s="109" t="e">
        <f t="shared" si="11"/>
        <v>#N/A</v>
      </c>
      <c r="I67" s="107"/>
      <c r="J67" s="110">
        <f t="shared" si="2"/>
        <v>0</v>
      </c>
      <c r="K67" s="107">
        <v>4</v>
      </c>
      <c r="L67" s="107">
        <v>4</v>
      </c>
      <c r="M67" s="107">
        <v>4</v>
      </c>
      <c r="N67" s="107">
        <v>4</v>
      </c>
      <c r="O67" s="111">
        <f t="shared" si="12"/>
        <v>1</v>
      </c>
      <c r="P67" s="112" t="e">
        <f t="shared" si="4"/>
        <v>#N/A</v>
      </c>
      <c r="Q67" s="113"/>
      <c r="R67" s="114" t="e">
        <f t="shared" si="5"/>
        <v>#N/A</v>
      </c>
    </row>
    <row r="68" spans="2:18" ht="15">
      <c r="B68" s="105" t="e">
        <f>VLOOKUP(D68,Formler!$A:$D,2,FALSE)</f>
        <v>#N/A</v>
      </c>
      <c r="C68" s="106" t="e">
        <f>VLOOKUP(D68,Formler!$A:$D,3,FALSE)</f>
        <v>#N/A</v>
      </c>
      <c r="D68" s="107"/>
      <c r="E68" s="106" t="e">
        <f>VLOOKUP(D68,Formler!$Q:$S,3,FALSE)</f>
        <v>#N/A</v>
      </c>
      <c r="F68" s="107"/>
      <c r="G68" s="108">
        <f t="shared" si="0"/>
        <v>0</v>
      </c>
      <c r="H68" s="109" t="e">
        <f t="shared" si="11"/>
        <v>#N/A</v>
      </c>
      <c r="I68" s="107"/>
      <c r="J68" s="110">
        <f t="shared" si="2"/>
        <v>0</v>
      </c>
      <c r="K68" s="107">
        <v>4</v>
      </c>
      <c r="L68" s="107">
        <v>4</v>
      </c>
      <c r="M68" s="107">
        <v>4</v>
      </c>
      <c r="N68" s="107">
        <v>4</v>
      </c>
      <c r="O68" s="111">
        <f t="shared" si="12"/>
        <v>1</v>
      </c>
      <c r="P68" s="112" t="e">
        <f t="shared" si="4"/>
        <v>#N/A</v>
      </c>
      <c r="Q68" s="113"/>
      <c r="R68" s="114" t="e">
        <f t="shared" si="5"/>
        <v>#N/A</v>
      </c>
    </row>
    <row r="69" spans="2:18" ht="15">
      <c r="B69" s="105" t="e">
        <f>VLOOKUP(D69,Formler!$A:$D,2,FALSE)</f>
        <v>#N/A</v>
      </c>
      <c r="C69" s="106" t="e">
        <f>VLOOKUP(D69,Formler!$A:$D,3,FALSE)</f>
        <v>#N/A</v>
      </c>
      <c r="D69" s="107"/>
      <c r="E69" s="106" t="e">
        <f>VLOOKUP(D69,Formler!$Q:$S,3,FALSE)</f>
        <v>#N/A</v>
      </c>
      <c r="F69" s="107"/>
      <c r="G69" s="108">
        <f t="shared" ref="G69:G72" si="13">(F69*F69)/(4*PI())</f>
        <v>0</v>
      </c>
      <c r="H69" s="109" t="e">
        <f t="shared" si="11"/>
        <v>#N/A</v>
      </c>
      <c r="I69" s="107"/>
      <c r="J69" s="110">
        <f t="shared" ref="J69:J72" si="14">IF(I69=1,IF(70*G69+IF(I69=1,20000,(IF(I69=2,10000,0)))&gt;=85000,85000,70*G69+IF(I69=1,20000,(IF(I69=2,10000,0)))),IF(70*G69+IF(I69=1,20000,(IF(I69=2,10000,0)))&gt;=75000,75000,70*G69+IF(I69=1,20000,(IF(I69=2,10000,0)))))</f>
        <v>0</v>
      </c>
      <c r="K69" s="107">
        <v>4</v>
      </c>
      <c r="L69" s="107">
        <v>4</v>
      </c>
      <c r="M69" s="107">
        <v>4</v>
      </c>
      <c r="N69" s="107">
        <v>4</v>
      </c>
      <c r="O69" s="111">
        <f t="shared" si="12"/>
        <v>1</v>
      </c>
      <c r="P69" s="112" t="e">
        <f t="shared" ref="P69:P72" si="15">H69*O69+J69</f>
        <v>#N/A</v>
      </c>
      <c r="Q69" s="113"/>
      <c r="R69" s="114" t="e">
        <f t="shared" si="5"/>
        <v>#N/A</v>
      </c>
    </row>
    <row r="70" spans="2:18" ht="15">
      <c r="B70" s="105" t="e">
        <f>VLOOKUP(D70,Formler!$A:$D,2,FALSE)</f>
        <v>#N/A</v>
      </c>
      <c r="C70" s="106" t="e">
        <f>VLOOKUP(D70,Formler!$A:$D,3,FALSE)</f>
        <v>#N/A</v>
      </c>
      <c r="D70" s="107"/>
      <c r="E70" s="106" t="e">
        <f>VLOOKUP(D70,Formler!$Q:$S,3,FALSE)</f>
        <v>#N/A</v>
      </c>
      <c r="F70" s="107"/>
      <c r="G70" s="108">
        <f t="shared" si="13"/>
        <v>0</v>
      </c>
      <c r="H70" s="109" t="e">
        <f t="shared" si="11"/>
        <v>#N/A</v>
      </c>
      <c r="I70" s="107"/>
      <c r="J70" s="110">
        <f t="shared" si="14"/>
        <v>0</v>
      </c>
      <c r="K70" s="107">
        <v>4</v>
      </c>
      <c r="L70" s="107">
        <v>4</v>
      </c>
      <c r="M70" s="107">
        <v>4</v>
      </c>
      <c r="N70" s="107">
        <v>4</v>
      </c>
      <c r="O70" s="111">
        <f t="shared" si="12"/>
        <v>1</v>
      </c>
      <c r="P70" s="112" t="e">
        <f t="shared" si="15"/>
        <v>#N/A</v>
      </c>
      <c r="Q70" s="113"/>
      <c r="R70" s="114" t="e">
        <f t="shared" ref="R70:R72" si="16">P70*Q70</f>
        <v>#N/A</v>
      </c>
    </row>
    <row r="71" spans="2:18" ht="15">
      <c r="B71" s="105" t="e">
        <f>VLOOKUP(D71,Formler!$A:$D,2,FALSE)</f>
        <v>#N/A</v>
      </c>
      <c r="C71" s="106" t="e">
        <f>VLOOKUP(D71,Formler!$A:$D,3,FALSE)</f>
        <v>#N/A</v>
      </c>
      <c r="D71" s="107"/>
      <c r="E71" s="106" t="e">
        <f>VLOOKUP(D71,Formler!$Q:$S,3,FALSE)</f>
        <v>#N/A</v>
      </c>
      <c r="F71" s="107"/>
      <c r="G71" s="108">
        <f t="shared" si="13"/>
        <v>0</v>
      </c>
      <c r="H71" s="109" t="e">
        <f t="shared" si="11"/>
        <v>#N/A</v>
      </c>
      <c r="I71" s="107"/>
      <c r="J71" s="110">
        <f t="shared" si="14"/>
        <v>0</v>
      </c>
      <c r="K71" s="107">
        <v>4</v>
      </c>
      <c r="L71" s="107">
        <v>4</v>
      </c>
      <c r="M71" s="107">
        <v>4</v>
      </c>
      <c r="N71" s="107">
        <v>4</v>
      </c>
      <c r="O71" s="111">
        <f t="shared" si="12"/>
        <v>1</v>
      </c>
      <c r="P71" s="112" t="e">
        <f t="shared" si="15"/>
        <v>#N/A</v>
      </c>
      <c r="Q71" s="113"/>
      <c r="R71" s="114" t="e">
        <f t="shared" si="16"/>
        <v>#N/A</v>
      </c>
    </row>
    <row r="72" spans="2:18" ht="15.75" thickBot="1">
      <c r="B72" s="115" t="e">
        <f>VLOOKUP(D72,Formler!$A:$D,2,FALSE)</f>
        <v>#N/A</v>
      </c>
      <c r="C72" s="116" t="e">
        <f>VLOOKUP(D72,Formler!$A:$D,3,FALSE)</f>
        <v>#N/A</v>
      </c>
      <c r="D72" s="117"/>
      <c r="E72" s="116" t="e">
        <f>VLOOKUP(D72,Formler!$Q:$S,3,FALSE)</f>
        <v>#N/A</v>
      </c>
      <c r="F72" s="117"/>
      <c r="G72" s="118">
        <f t="shared" si="13"/>
        <v>0</v>
      </c>
      <c r="H72" s="119" t="e">
        <f t="shared" si="11"/>
        <v>#N/A</v>
      </c>
      <c r="I72" s="117"/>
      <c r="J72" s="120">
        <f t="shared" si="14"/>
        <v>0</v>
      </c>
      <c r="K72" s="117">
        <v>4</v>
      </c>
      <c r="L72" s="117">
        <v>4</v>
      </c>
      <c r="M72" s="117">
        <v>4</v>
      </c>
      <c r="N72" s="117">
        <v>4</v>
      </c>
      <c r="O72" s="121">
        <f t="shared" si="12"/>
        <v>1</v>
      </c>
      <c r="P72" s="122" t="e">
        <f t="shared" si="15"/>
        <v>#N/A</v>
      </c>
      <c r="Q72" s="123"/>
      <c r="R72" s="124" t="e">
        <f t="shared" si="16"/>
        <v>#N/A</v>
      </c>
    </row>
    <row r="74" spans="2:18" ht="15">
      <c r="B74" s="125"/>
      <c r="C74" s="104"/>
      <c r="D74" s="104"/>
      <c r="E74" s="104"/>
      <c r="F74" s="104"/>
      <c r="G74" s="104"/>
      <c r="H74" s="104"/>
      <c r="I74" s="104"/>
      <c r="J74" s="104"/>
      <c r="K74" s="104"/>
      <c r="L74" s="104"/>
      <c r="M74" s="104"/>
      <c r="N74" s="104"/>
      <c r="O74" s="104" t="s">
        <v>21</v>
      </c>
      <c r="P74" s="126" t="e">
        <f>SUM(P4:P73)</f>
        <v>#N/A</v>
      </c>
      <c r="Q74" s="104"/>
      <c r="R74" s="126" t="e">
        <f>SUM(R4:R73)</f>
        <v>#N/A</v>
      </c>
    </row>
  </sheetData>
  <mergeCells count="2">
    <mergeCell ref="D1:R1"/>
    <mergeCell ref="B2:R2"/>
  </mergeCells>
  <dataValidations count="1">
    <dataValidation type="whole" allowBlank="1" showInputMessage="1" showErrorMessage="1" sqref="K4:N72" xr:uid="{00000000-0002-0000-0000-000000000000}">
      <formula1>0</formula1>
      <formula2>4</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2:ALZ137"/>
  <sheetViews>
    <sheetView zoomScale="80" zoomScaleNormal="80" workbookViewId="0">
      <pane xSplit="4" ySplit="6" topLeftCell="E7" activePane="bottomRight" state="frozen"/>
      <selection pane="bottomRight"/>
      <selection pane="bottomLeft" activeCell="A7" sqref="A7"/>
      <selection pane="topRight" activeCell="D1" sqref="D1"/>
    </sheetView>
  </sheetViews>
  <sheetFormatPr defaultColWidth="9" defaultRowHeight="15"/>
  <cols>
    <col min="1" max="1" width="8.125" style="1" customWidth="1"/>
    <col min="2" max="2" width="40.5" style="48" customWidth="1"/>
    <col min="3" max="3" width="23" style="1" bestFit="1" customWidth="1"/>
    <col min="4" max="4" width="15" style="1" bestFit="1" customWidth="1"/>
    <col min="5" max="5" width="20.25" style="1" bestFit="1" customWidth="1"/>
    <col min="6" max="6" width="15" style="1" customWidth="1"/>
    <col min="7" max="7" width="16.875" style="1" bestFit="1" customWidth="1"/>
    <col min="8" max="8" width="18.375" style="1" bestFit="1" customWidth="1"/>
    <col min="9" max="9" width="24.25" style="1" bestFit="1" customWidth="1"/>
    <col min="10" max="10" width="20.75" style="1" bestFit="1" customWidth="1"/>
    <col min="11" max="12" width="16.875" style="1" bestFit="1" customWidth="1"/>
    <col min="13" max="14" width="20.625" style="1" bestFit="1" customWidth="1"/>
    <col min="15" max="15" width="17.375" style="1" bestFit="1" customWidth="1"/>
    <col min="16" max="16" width="14.75" style="1" bestFit="1" customWidth="1"/>
    <col min="17" max="17" width="3.875" style="1" bestFit="1" customWidth="1"/>
    <col min="18" max="18" width="45.75" style="1" bestFit="1" customWidth="1"/>
    <col min="19" max="19" width="27" style="1" bestFit="1" customWidth="1"/>
    <col min="20" max="1014" width="8.125" style="1" customWidth="1"/>
    <col min="1015" max="16384" width="9" style="2"/>
  </cols>
  <sheetData>
    <row r="2" spans="1:1014">
      <c r="B2" s="46" t="s">
        <v>22</v>
      </c>
      <c r="C2" s="4">
        <v>10.280900000000001</v>
      </c>
      <c r="D2" s="47">
        <v>43739</v>
      </c>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row>
    <row r="3" spans="1:1014">
      <c r="B3" s="1" t="s">
        <v>23</v>
      </c>
      <c r="C3" s="49">
        <f>13*13/(4*PI())</f>
        <v>13.448592691265157</v>
      </c>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row>
    <row r="4" spans="1:1014">
      <c r="B4" s="1"/>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row>
    <row r="5" spans="1:1014">
      <c r="B5"/>
      <c r="D5" s="3" t="s">
        <v>24</v>
      </c>
      <c r="E5" s="3"/>
      <c r="F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row>
    <row r="6" spans="1:1014">
      <c r="A6" s="6"/>
      <c r="B6" s="64" t="s">
        <v>25</v>
      </c>
      <c r="C6" s="64" t="s">
        <v>26</v>
      </c>
      <c r="D6" s="61" t="s">
        <v>27</v>
      </c>
      <c r="E6" s="61" t="s">
        <v>28</v>
      </c>
      <c r="F6" s="62" t="s">
        <v>29</v>
      </c>
      <c r="G6" s="62" t="s">
        <v>30</v>
      </c>
      <c r="H6" s="62" t="s">
        <v>31</v>
      </c>
      <c r="I6" s="62" t="s">
        <v>32</v>
      </c>
      <c r="J6" s="62" t="s">
        <v>33</v>
      </c>
      <c r="K6" s="62" t="s">
        <v>34</v>
      </c>
      <c r="L6" s="62" t="s">
        <v>35</v>
      </c>
      <c r="M6" s="62" t="s">
        <v>36</v>
      </c>
      <c r="N6" s="62" t="s">
        <v>37</v>
      </c>
      <c r="O6" s="62" t="s">
        <v>38</v>
      </c>
      <c r="Q6" s="49"/>
      <c r="R6" s="50" t="s">
        <v>39</v>
      </c>
      <c r="S6" s="50" t="s">
        <v>40</v>
      </c>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row>
    <row r="7" spans="1:1014">
      <c r="A7" s="49">
        <v>1</v>
      </c>
      <c r="B7" s="65" t="s">
        <v>41</v>
      </c>
      <c r="C7" s="65" t="s">
        <v>42</v>
      </c>
      <c r="D7" s="66">
        <f t="shared" ref="D7:D38" si="0">AVERAGE(E7:L7)</f>
        <v>2480.09</v>
      </c>
      <c r="E7" s="81">
        <f>M7*$C$2</f>
        <v>2570.2250000000004</v>
      </c>
      <c r="F7" s="81">
        <f>N7*$C$2</f>
        <v>2570.2250000000004</v>
      </c>
      <c r="G7" s="72" t="s">
        <v>43</v>
      </c>
      <c r="H7" s="71">
        <v>2320</v>
      </c>
      <c r="I7" s="74" t="s">
        <v>43</v>
      </c>
      <c r="J7" s="74" t="s">
        <v>43</v>
      </c>
      <c r="K7" s="72">
        <v>2210</v>
      </c>
      <c r="L7" s="72">
        <v>2730</v>
      </c>
      <c r="M7" s="83">
        <v>250</v>
      </c>
      <c r="N7" s="83">
        <v>250</v>
      </c>
      <c r="O7" s="49">
        <f t="shared" ref="O7:O38" si="1">COUNT(E7:L7)</f>
        <v>5</v>
      </c>
      <c r="Q7" s="49">
        <f t="shared" ref="Q7:Q38" si="2">A7</f>
        <v>1</v>
      </c>
      <c r="R7" s="52" t="str">
        <f t="shared" ref="R7:R38" si="3">B7</f>
        <v xml:space="preserve">Acer campestre </v>
      </c>
      <c r="S7" s="51">
        <f t="shared" ref="S7:S38" si="4">D7/$C$3</f>
        <v>184.41260412405941</v>
      </c>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row>
    <row r="8" spans="1:1014">
      <c r="A8" s="49">
        <v>2</v>
      </c>
      <c r="B8" s="65" t="s">
        <v>44</v>
      </c>
      <c r="C8" s="65" t="s">
        <v>42</v>
      </c>
      <c r="D8" s="66">
        <f t="shared" si="0"/>
        <v>2358.8062500000001</v>
      </c>
      <c r="E8" s="81">
        <f t="shared" ref="E8:E71" si="5">M8*$C$2</f>
        <v>2570.2250000000004</v>
      </c>
      <c r="F8" s="81">
        <f>N8*$C$2</f>
        <v>2570.2250000000004</v>
      </c>
      <c r="G8" s="71">
        <v>2500</v>
      </c>
      <c r="H8" s="71">
        <v>2320</v>
      </c>
      <c r="I8" s="71">
        <v>2260</v>
      </c>
      <c r="J8" s="71">
        <v>2405</v>
      </c>
      <c r="K8" s="72">
        <v>2210</v>
      </c>
      <c r="L8" s="72">
        <v>2035</v>
      </c>
      <c r="M8" s="83">
        <v>250</v>
      </c>
      <c r="N8" s="83">
        <v>250</v>
      </c>
      <c r="O8" s="49">
        <f t="shared" si="1"/>
        <v>8</v>
      </c>
      <c r="Q8" s="49">
        <f t="shared" si="2"/>
        <v>2</v>
      </c>
      <c r="R8" s="52" t="str">
        <f t="shared" si="3"/>
        <v>Acer campestre 'Elsrijk'</v>
      </c>
      <c r="S8" s="51">
        <f t="shared" si="4"/>
        <v>175.39428133116425</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row>
    <row r="9" spans="1:1014">
      <c r="A9" s="49">
        <v>3</v>
      </c>
      <c r="B9" s="65" t="s">
        <v>45</v>
      </c>
      <c r="C9" s="65" t="s">
        <v>42</v>
      </c>
      <c r="D9" s="66">
        <f t="shared" si="0"/>
        <v>2858</v>
      </c>
      <c r="E9" s="81"/>
      <c r="F9" s="81"/>
      <c r="G9" s="71">
        <v>3200</v>
      </c>
      <c r="H9" s="71">
        <v>3225</v>
      </c>
      <c r="I9" s="71">
        <v>2260</v>
      </c>
      <c r="J9" s="71">
        <v>2405</v>
      </c>
      <c r="K9" s="72">
        <v>3200</v>
      </c>
      <c r="L9" s="72" t="s">
        <v>43</v>
      </c>
      <c r="M9" s="84" t="s">
        <v>43</v>
      </c>
      <c r="N9" s="84" t="s">
        <v>43</v>
      </c>
      <c r="O9" s="49">
        <f t="shared" si="1"/>
        <v>5</v>
      </c>
      <c r="Q9" s="49">
        <f t="shared" si="2"/>
        <v>3</v>
      </c>
      <c r="R9" s="52" t="str">
        <f t="shared" si="3"/>
        <v>Acer campestre FK Uppsala E</v>
      </c>
      <c r="S9" s="51">
        <f t="shared" si="4"/>
        <v>212.51294210555335</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row>
    <row r="10" spans="1:1014">
      <c r="A10" s="49">
        <v>4</v>
      </c>
      <c r="B10" s="65" t="s">
        <v>46</v>
      </c>
      <c r="C10" s="65" t="s">
        <v>47</v>
      </c>
      <c r="D10" s="66">
        <f t="shared" si="0"/>
        <v>2878.652</v>
      </c>
      <c r="E10" s="81">
        <f t="shared" si="5"/>
        <v>2878.652</v>
      </c>
      <c r="F10" s="81">
        <f>N10*$C$2</f>
        <v>2878.652</v>
      </c>
      <c r="G10" s="72" t="s">
        <v>43</v>
      </c>
      <c r="H10" s="72" t="s">
        <v>43</v>
      </c>
      <c r="I10" s="73" t="s">
        <v>43</v>
      </c>
      <c r="J10" s="73" t="s">
        <v>43</v>
      </c>
      <c r="K10" s="72" t="s">
        <v>43</v>
      </c>
      <c r="L10" s="72" t="s">
        <v>43</v>
      </c>
      <c r="M10" s="83">
        <v>280</v>
      </c>
      <c r="N10" s="83">
        <v>280</v>
      </c>
      <c r="O10" s="49">
        <f t="shared" si="1"/>
        <v>2</v>
      </c>
      <c r="Q10" s="49">
        <f t="shared" si="2"/>
        <v>4</v>
      </c>
      <c r="R10" s="52" t="str">
        <f t="shared" si="3"/>
        <v>Acer cappadocicum</v>
      </c>
      <c r="S10" s="51">
        <f t="shared" si="4"/>
        <v>214.04856746607254</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row>
    <row r="11" spans="1:1014">
      <c r="A11" s="49">
        <v>5</v>
      </c>
      <c r="B11" s="65" t="s">
        <v>48</v>
      </c>
      <c r="C11" s="65" t="s">
        <v>49</v>
      </c>
      <c r="D11" s="66">
        <f t="shared" si="0"/>
        <v>2287.5002500000001</v>
      </c>
      <c r="E11" s="81">
        <f t="shared" si="5"/>
        <v>2261.7980000000002</v>
      </c>
      <c r="F11" s="81">
        <f>N11*$C$2</f>
        <v>2313.2025000000003</v>
      </c>
      <c r="G11" s="72" t="s">
        <v>43</v>
      </c>
      <c r="H11" s="72" t="s">
        <v>43</v>
      </c>
      <c r="I11" s="73" t="s">
        <v>43</v>
      </c>
      <c r="J11" s="73" t="s">
        <v>43</v>
      </c>
      <c r="K11" s="72" t="s">
        <v>43</v>
      </c>
      <c r="L11" s="72" t="s">
        <v>43</v>
      </c>
      <c r="M11" s="83">
        <v>220</v>
      </c>
      <c r="N11" s="83">
        <v>225</v>
      </c>
      <c r="O11" s="49">
        <f t="shared" si="1"/>
        <v>2</v>
      </c>
      <c r="Q11" s="49">
        <f t="shared" si="2"/>
        <v>5</v>
      </c>
      <c r="R11" s="52" t="str">
        <f t="shared" si="3"/>
        <v>Acer negundo</v>
      </c>
      <c r="S11" s="51">
        <f t="shared" si="4"/>
        <v>170.0921652185755</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row>
    <row r="12" spans="1:1014">
      <c r="A12" s="49">
        <v>6</v>
      </c>
      <c r="B12" s="65" t="s">
        <v>50</v>
      </c>
      <c r="C12" s="65" t="s">
        <v>49</v>
      </c>
      <c r="D12" s="66">
        <f t="shared" si="0"/>
        <v>2175.1999999999998</v>
      </c>
      <c r="E12" s="81"/>
      <c r="F12" s="81"/>
      <c r="G12" s="71">
        <v>2400</v>
      </c>
      <c r="H12" s="72" t="s">
        <v>43</v>
      </c>
      <c r="I12" s="71">
        <v>2260</v>
      </c>
      <c r="J12" s="71">
        <v>2226</v>
      </c>
      <c r="K12" s="72">
        <v>2060</v>
      </c>
      <c r="L12" s="72">
        <v>1930</v>
      </c>
      <c r="M12" s="84" t="s">
        <v>43</v>
      </c>
      <c r="N12" s="85" t="s">
        <v>43</v>
      </c>
      <c r="O12" s="49">
        <f t="shared" si="1"/>
        <v>5</v>
      </c>
      <c r="Q12" s="49">
        <f t="shared" si="2"/>
        <v>6</v>
      </c>
      <c r="R12" s="52" t="str">
        <f t="shared" si="3"/>
        <v>Acer negundo FK Alnarp E</v>
      </c>
      <c r="S12" s="51">
        <f t="shared" si="4"/>
        <v>161.74183053463946</v>
      </c>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row>
    <row r="13" spans="1:1014">
      <c r="A13" s="49">
        <v>7</v>
      </c>
      <c r="B13" s="65" t="s">
        <v>51</v>
      </c>
      <c r="C13" s="65" t="s">
        <v>52</v>
      </c>
      <c r="D13" s="66">
        <f t="shared" si="0"/>
        <v>2098.750125</v>
      </c>
      <c r="E13" s="81">
        <f t="shared" si="5"/>
        <v>2261.7980000000002</v>
      </c>
      <c r="F13" s="81">
        <f>N13*$C$2</f>
        <v>2313.2025000000003</v>
      </c>
      <c r="G13" s="72" t="s">
        <v>43</v>
      </c>
      <c r="H13" s="71">
        <v>2110</v>
      </c>
      <c r="I13" s="73" t="s">
        <v>43</v>
      </c>
      <c r="J13" s="73" t="s">
        <v>43</v>
      </c>
      <c r="K13" s="72">
        <v>1710</v>
      </c>
      <c r="L13" s="72" t="s">
        <v>43</v>
      </c>
      <c r="M13" s="83">
        <v>220</v>
      </c>
      <c r="N13" s="83">
        <v>225</v>
      </c>
      <c r="O13" s="49">
        <f t="shared" si="1"/>
        <v>4</v>
      </c>
      <c r="Q13" s="49">
        <f t="shared" si="2"/>
        <v>7</v>
      </c>
      <c r="R13" s="52" t="str">
        <f t="shared" si="3"/>
        <v>Acer platanoides</v>
      </c>
      <c r="S13" s="51">
        <f t="shared" si="4"/>
        <v>156.05723016380261</v>
      </c>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row>
    <row r="14" spans="1:1014">
      <c r="A14" s="49">
        <v>8</v>
      </c>
      <c r="B14" s="65" t="s">
        <v>53</v>
      </c>
      <c r="C14" s="65" t="s">
        <v>52</v>
      </c>
      <c r="D14" s="66">
        <f t="shared" si="0"/>
        <v>2384</v>
      </c>
      <c r="E14" s="81"/>
      <c r="F14" s="81"/>
      <c r="G14" s="71">
        <v>2700</v>
      </c>
      <c r="H14" s="71">
        <v>2475</v>
      </c>
      <c r="I14" s="71">
        <v>2510</v>
      </c>
      <c r="J14" s="71">
        <v>2309</v>
      </c>
      <c r="K14" s="72">
        <v>2170</v>
      </c>
      <c r="L14" s="72">
        <v>2140</v>
      </c>
      <c r="M14" s="84" t="s">
        <v>43</v>
      </c>
      <c r="N14" s="84" t="s">
        <v>43</v>
      </c>
      <c r="O14" s="49">
        <f t="shared" si="1"/>
        <v>6</v>
      </c>
      <c r="Q14" s="49">
        <f t="shared" si="2"/>
        <v>8</v>
      </c>
      <c r="R14" s="52" t="str">
        <f t="shared" si="3"/>
        <v>Acer platanoides FK Pernilla, Ultuna E</v>
      </c>
      <c r="S14" s="51">
        <f t="shared" si="4"/>
        <v>177.26761860729152</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row>
    <row r="15" spans="1:1014">
      <c r="A15" s="49">
        <v>9</v>
      </c>
      <c r="B15" s="65" t="s">
        <v>54</v>
      </c>
      <c r="C15" s="65" t="s">
        <v>55</v>
      </c>
      <c r="D15" s="66">
        <f t="shared" si="0"/>
        <v>3598.3150000000005</v>
      </c>
      <c r="E15" s="81">
        <f t="shared" si="5"/>
        <v>3598.3150000000005</v>
      </c>
      <c r="F15" s="81">
        <f t="shared" ref="F15:F20" si="6">N15*$C$2</f>
        <v>3598.3150000000005</v>
      </c>
      <c r="G15" s="72" t="s">
        <v>43</v>
      </c>
      <c r="H15" s="72" t="s">
        <v>43</v>
      </c>
      <c r="I15" s="73" t="s">
        <v>43</v>
      </c>
      <c r="J15" s="73" t="s">
        <v>43</v>
      </c>
      <c r="K15" s="72" t="s">
        <v>43</v>
      </c>
      <c r="L15" s="72" t="s">
        <v>43</v>
      </c>
      <c r="M15" s="83">
        <v>350</v>
      </c>
      <c r="N15" s="83">
        <v>350</v>
      </c>
      <c r="O15" s="49">
        <f t="shared" si="1"/>
        <v>2</v>
      </c>
      <c r="Q15" s="49">
        <f t="shared" si="2"/>
        <v>9</v>
      </c>
      <c r="R15" s="52" t="str">
        <f t="shared" si="3"/>
        <v>Acer platanoides 'Faasen's black'</v>
      </c>
      <c r="S15" s="51">
        <f t="shared" si="4"/>
        <v>267.5607093325907</v>
      </c>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row>
    <row r="16" spans="1:1014">
      <c r="A16" s="49">
        <v>10</v>
      </c>
      <c r="B16" s="65" t="s">
        <v>56</v>
      </c>
      <c r="C16" s="65" t="s">
        <v>57</v>
      </c>
      <c r="D16" s="66">
        <f t="shared" si="0"/>
        <v>3207.163</v>
      </c>
      <c r="E16" s="81">
        <f t="shared" si="5"/>
        <v>2878.652</v>
      </c>
      <c r="F16" s="81">
        <f t="shared" si="6"/>
        <v>2878.652</v>
      </c>
      <c r="G16" s="71">
        <v>3500</v>
      </c>
      <c r="H16" s="71">
        <v>3380</v>
      </c>
      <c r="I16" s="71">
        <v>3410</v>
      </c>
      <c r="J16" s="71">
        <v>3675</v>
      </c>
      <c r="K16" s="72">
        <v>2880</v>
      </c>
      <c r="L16" s="72">
        <v>3055</v>
      </c>
      <c r="M16" s="83">
        <v>280</v>
      </c>
      <c r="N16" s="83">
        <v>280</v>
      </c>
      <c r="O16" s="49">
        <f t="shared" si="1"/>
        <v>8</v>
      </c>
      <c r="Q16" s="49">
        <f t="shared" si="2"/>
        <v>10</v>
      </c>
      <c r="R16" s="52" t="str">
        <f t="shared" si="3"/>
        <v>Acer platanoides 'Globosum'</v>
      </c>
      <c r="S16" s="51">
        <f t="shared" si="4"/>
        <v>238.47573300982251</v>
      </c>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row>
    <row r="17" spans="1:1014">
      <c r="A17" s="49">
        <v>11</v>
      </c>
      <c r="B17" s="65" t="s">
        <v>58</v>
      </c>
      <c r="C17" s="65" t="s">
        <v>55</v>
      </c>
      <c r="D17" s="66">
        <f t="shared" si="0"/>
        <v>2819.4607999999998</v>
      </c>
      <c r="E17" s="81">
        <f t="shared" si="5"/>
        <v>2878.652</v>
      </c>
      <c r="F17" s="81">
        <f t="shared" si="6"/>
        <v>2878.652</v>
      </c>
      <c r="G17" s="72" t="s">
        <v>43</v>
      </c>
      <c r="H17" s="71">
        <v>2415</v>
      </c>
      <c r="I17" s="73" t="s">
        <v>43</v>
      </c>
      <c r="J17" s="71">
        <v>3675</v>
      </c>
      <c r="K17" s="72">
        <v>2250</v>
      </c>
      <c r="L17" s="72" t="s">
        <v>43</v>
      </c>
      <c r="M17" s="83">
        <v>280</v>
      </c>
      <c r="N17" s="83">
        <v>280</v>
      </c>
      <c r="O17" s="49">
        <f t="shared" si="1"/>
        <v>5</v>
      </c>
      <c r="Q17" s="49">
        <f t="shared" si="2"/>
        <v>11</v>
      </c>
      <c r="R17" s="52" t="str">
        <f t="shared" si="3"/>
        <v>Acer platanoides 'Schwedleri'</v>
      </c>
      <c r="S17" s="51">
        <f t="shared" si="4"/>
        <v>209.64727423347694</v>
      </c>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row>
    <row r="18" spans="1:1014">
      <c r="A18" s="49">
        <v>12</v>
      </c>
      <c r="B18" s="65" t="s">
        <v>59</v>
      </c>
      <c r="C18" s="65" t="s">
        <v>60</v>
      </c>
      <c r="D18" s="66">
        <f t="shared" si="0"/>
        <v>2319.1429285714285</v>
      </c>
      <c r="E18" s="81">
        <f t="shared" si="5"/>
        <v>2261.7980000000002</v>
      </c>
      <c r="F18" s="81">
        <f t="shared" si="6"/>
        <v>2313.2025000000003</v>
      </c>
      <c r="G18" s="71">
        <v>2500</v>
      </c>
      <c r="H18" s="71">
        <v>2415</v>
      </c>
      <c r="I18" s="71">
        <v>2400</v>
      </c>
      <c r="J18" s="71">
        <v>2309</v>
      </c>
      <c r="K18" s="72" t="s">
        <v>43</v>
      </c>
      <c r="L18" s="72">
        <v>2035</v>
      </c>
      <c r="M18" s="83">
        <v>220</v>
      </c>
      <c r="N18" s="83">
        <v>225</v>
      </c>
      <c r="O18" s="49">
        <f t="shared" si="1"/>
        <v>7</v>
      </c>
      <c r="Q18" s="49">
        <f t="shared" si="2"/>
        <v>12</v>
      </c>
      <c r="R18" s="52" t="str">
        <f t="shared" si="3"/>
        <v>Acer pseudoplatanus</v>
      </c>
      <c r="S18" s="51">
        <f t="shared" si="4"/>
        <v>172.44502691182763</v>
      </c>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row>
    <row r="19" spans="1:1014">
      <c r="A19" s="49">
        <v>13</v>
      </c>
      <c r="B19" s="65" t="s">
        <v>61</v>
      </c>
      <c r="C19" s="65" t="s">
        <v>62</v>
      </c>
      <c r="D19" s="66">
        <f t="shared" si="0"/>
        <v>3205.1125000000002</v>
      </c>
      <c r="E19" s="81"/>
      <c r="F19" s="81">
        <f t="shared" si="6"/>
        <v>2570.2250000000004</v>
      </c>
      <c r="G19" s="72" t="s">
        <v>43</v>
      </c>
      <c r="H19" s="72" t="s">
        <v>43</v>
      </c>
      <c r="I19" s="71">
        <v>3840</v>
      </c>
      <c r="J19" s="73" t="s">
        <v>43</v>
      </c>
      <c r="K19" s="72" t="s">
        <v>43</v>
      </c>
      <c r="L19" s="72" t="s">
        <v>43</v>
      </c>
      <c r="M19" s="84" t="s">
        <v>43</v>
      </c>
      <c r="N19" s="83">
        <v>250</v>
      </c>
      <c r="O19" s="49">
        <f t="shared" si="1"/>
        <v>2</v>
      </c>
      <c r="Q19" s="49">
        <f t="shared" si="2"/>
        <v>13</v>
      </c>
      <c r="R19" s="52" t="str">
        <f t="shared" si="3"/>
        <v>Acer pseudoplatanus 'Atropurpureum'</v>
      </c>
      <c r="S19" s="51">
        <f t="shared" si="4"/>
        <v>238.3232635249424</v>
      </c>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row>
    <row r="20" spans="1:1014">
      <c r="A20" s="49">
        <v>14</v>
      </c>
      <c r="B20" s="65" t="s">
        <v>63</v>
      </c>
      <c r="C20" s="65" t="s">
        <v>64</v>
      </c>
      <c r="D20" s="66">
        <f t="shared" si="0"/>
        <v>2250.0000714285716</v>
      </c>
      <c r="E20" s="81">
        <f t="shared" si="5"/>
        <v>2261.7980000000002</v>
      </c>
      <c r="F20" s="81">
        <f t="shared" si="6"/>
        <v>2313.2025000000003</v>
      </c>
      <c r="G20" s="71">
        <v>2600</v>
      </c>
      <c r="H20" s="71">
        <v>2450</v>
      </c>
      <c r="I20" s="71">
        <v>2310</v>
      </c>
      <c r="J20" s="73" t="s">
        <v>43</v>
      </c>
      <c r="K20" s="72">
        <v>1780</v>
      </c>
      <c r="L20" s="72">
        <v>2035</v>
      </c>
      <c r="M20" s="83">
        <v>220</v>
      </c>
      <c r="N20" s="83">
        <v>225</v>
      </c>
      <c r="O20" s="49">
        <f t="shared" si="1"/>
        <v>7</v>
      </c>
      <c r="Q20" s="49">
        <f t="shared" si="2"/>
        <v>14</v>
      </c>
      <c r="R20" s="52" t="str">
        <f t="shared" si="3"/>
        <v>Acer saccharinum</v>
      </c>
      <c r="S20" s="51">
        <f t="shared" si="4"/>
        <v>167.30375609411857</v>
      </c>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row>
    <row r="21" spans="1:1014">
      <c r="A21" s="49">
        <v>15</v>
      </c>
      <c r="B21" s="65" t="s">
        <v>65</v>
      </c>
      <c r="C21" s="65" t="s">
        <v>66</v>
      </c>
      <c r="D21" s="66">
        <f t="shared" si="0"/>
        <v>4009.5510000000004</v>
      </c>
      <c r="E21" s="81">
        <f t="shared" si="5"/>
        <v>4009.5510000000004</v>
      </c>
      <c r="F21" s="81"/>
      <c r="G21" s="72" t="s">
        <v>43</v>
      </c>
      <c r="H21" s="72" t="s">
        <v>43</v>
      </c>
      <c r="I21" s="73" t="s">
        <v>43</v>
      </c>
      <c r="J21" s="73" t="s">
        <v>43</v>
      </c>
      <c r="K21" s="72" t="s">
        <v>43</v>
      </c>
      <c r="L21" s="72" t="s">
        <v>43</v>
      </c>
      <c r="M21" s="83">
        <v>390</v>
      </c>
      <c r="N21" s="84" t="s">
        <v>67</v>
      </c>
      <c r="O21" s="49">
        <f t="shared" si="1"/>
        <v>1</v>
      </c>
      <c r="Q21" s="49">
        <f t="shared" si="2"/>
        <v>15</v>
      </c>
      <c r="R21" s="52" t="str">
        <f t="shared" si="3"/>
        <v>Acer tataricum</v>
      </c>
      <c r="S21" s="51">
        <f t="shared" si="4"/>
        <v>298.1390761134582</v>
      </c>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row>
    <row r="22" spans="1:1014">
      <c r="A22" s="49">
        <v>16</v>
      </c>
      <c r="B22" s="65" t="s">
        <v>68</v>
      </c>
      <c r="C22" s="65" t="s">
        <v>66</v>
      </c>
      <c r="D22" s="66">
        <f t="shared" si="0"/>
        <v>4582.333333333333</v>
      </c>
      <c r="E22" s="81"/>
      <c r="F22" s="81"/>
      <c r="G22" s="71">
        <v>4800</v>
      </c>
      <c r="H22" s="71">
        <v>4770</v>
      </c>
      <c r="I22" s="71">
        <v>4830</v>
      </c>
      <c r="J22" s="71">
        <v>4674</v>
      </c>
      <c r="K22" s="72">
        <v>4190</v>
      </c>
      <c r="L22" s="72">
        <v>4230</v>
      </c>
      <c r="M22" s="84" t="s">
        <v>43</v>
      </c>
      <c r="N22" s="84" t="s">
        <v>67</v>
      </c>
      <c r="O22" s="49">
        <f t="shared" si="1"/>
        <v>6</v>
      </c>
      <c r="Q22" s="49">
        <f t="shared" si="2"/>
        <v>16</v>
      </c>
      <c r="R22" s="52" t="str">
        <f t="shared" si="3"/>
        <v>Acer tataricum FK Falun E</v>
      </c>
      <c r="S22" s="51">
        <f t="shared" si="4"/>
        <v>340.72957955738764</v>
      </c>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row>
    <row r="23" spans="1:1014">
      <c r="A23" s="49">
        <v>17</v>
      </c>
      <c r="B23" s="65" t="s">
        <v>69</v>
      </c>
      <c r="C23" s="65" t="s">
        <v>70</v>
      </c>
      <c r="D23" s="66">
        <f t="shared" si="0"/>
        <v>2846.7577142857144</v>
      </c>
      <c r="E23" s="81">
        <f t="shared" si="5"/>
        <v>3187.0790000000002</v>
      </c>
      <c r="F23" s="81">
        <f t="shared" ref="F23:F28" si="7">N23*$C$2</f>
        <v>2570.2250000000004</v>
      </c>
      <c r="G23" s="71">
        <v>2500</v>
      </c>
      <c r="H23" s="71">
        <v>2940</v>
      </c>
      <c r="I23" s="71">
        <v>2800</v>
      </c>
      <c r="J23" s="73" t="s">
        <v>43</v>
      </c>
      <c r="K23" s="72">
        <v>3200</v>
      </c>
      <c r="L23" s="72">
        <v>2730</v>
      </c>
      <c r="M23" s="83">
        <v>310</v>
      </c>
      <c r="N23" s="83">
        <v>250</v>
      </c>
      <c r="O23" s="49">
        <f t="shared" si="1"/>
        <v>7</v>
      </c>
      <c r="Q23" s="49">
        <f t="shared" si="2"/>
        <v>17</v>
      </c>
      <c r="R23" s="52" t="str">
        <f t="shared" si="3"/>
        <v>Acer x freemanii 'Autumn Blaze'</v>
      </c>
      <c r="S23" s="51">
        <f t="shared" si="4"/>
        <v>211.67699696449873</v>
      </c>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row>
    <row r="24" spans="1:1014">
      <c r="A24" s="49">
        <v>18</v>
      </c>
      <c r="B24" s="65" t="s">
        <v>71</v>
      </c>
      <c r="C24" s="65" t="s">
        <v>72</v>
      </c>
      <c r="D24" s="66">
        <f t="shared" si="0"/>
        <v>4081.5089285714284</v>
      </c>
      <c r="E24" s="81">
        <f t="shared" si="5"/>
        <v>3187.0790000000002</v>
      </c>
      <c r="F24" s="81">
        <f t="shared" si="7"/>
        <v>3238.4835000000003</v>
      </c>
      <c r="G24" s="71">
        <v>4000</v>
      </c>
      <c r="H24" s="71">
        <v>5000</v>
      </c>
      <c r="I24" s="71">
        <v>4740</v>
      </c>
      <c r="J24" s="73" t="s">
        <v>43</v>
      </c>
      <c r="K24" s="72">
        <v>4280</v>
      </c>
      <c r="L24" s="72">
        <v>4125</v>
      </c>
      <c r="M24" s="83">
        <v>310</v>
      </c>
      <c r="N24" s="83">
        <v>315</v>
      </c>
      <c r="O24" s="49">
        <f t="shared" si="1"/>
        <v>7</v>
      </c>
      <c r="Q24" s="49">
        <f t="shared" si="2"/>
        <v>18</v>
      </c>
      <c r="R24" s="52" t="str">
        <f t="shared" si="3"/>
        <v>Aesculus carnea 'Briotii'</v>
      </c>
      <c r="S24" s="51">
        <f t="shared" si="4"/>
        <v>303.48966782393245</v>
      </c>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row>
    <row r="25" spans="1:1014">
      <c r="A25" s="49">
        <v>19</v>
      </c>
      <c r="B25" s="65" t="s">
        <v>73</v>
      </c>
      <c r="C25" s="65" t="s">
        <v>74</v>
      </c>
      <c r="D25" s="66">
        <f t="shared" si="0"/>
        <v>2749.2500625000002</v>
      </c>
      <c r="E25" s="81">
        <f t="shared" si="5"/>
        <v>2261.7980000000002</v>
      </c>
      <c r="F25" s="81">
        <f t="shared" si="7"/>
        <v>2313.2025000000003</v>
      </c>
      <c r="G25" s="71">
        <v>2600</v>
      </c>
      <c r="H25" s="71">
        <v>2610</v>
      </c>
      <c r="I25" s="71">
        <v>2600</v>
      </c>
      <c r="J25" s="71">
        <v>4714</v>
      </c>
      <c r="K25" s="72">
        <v>2700</v>
      </c>
      <c r="L25" s="72">
        <v>2195</v>
      </c>
      <c r="M25" s="83">
        <v>220</v>
      </c>
      <c r="N25" s="83">
        <v>225</v>
      </c>
      <c r="O25" s="49">
        <f t="shared" si="1"/>
        <v>8</v>
      </c>
      <c r="Q25" s="49">
        <f t="shared" si="2"/>
        <v>19</v>
      </c>
      <c r="R25" s="52" t="str">
        <f t="shared" si="3"/>
        <v>Aesculus hippocastanum</v>
      </c>
      <c r="S25" s="51">
        <f t="shared" si="4"/>
        <v>204.4265987983735</v>
      </c>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row>
    <row r="26" spans="1:1014">
      <c r="A26" s="49">
        <v>20</v>
      </c>
      <c r="B26" s="65" t="s">
        <v>75</v>
      </c>
      <c r="C26" s="65" t="s">
        <v>76</v>
      </c>
      <c r="D26" s="66">
        <f t="shared" si="0"/>
        <v>2592.6125000000002</v>
      </c>
      <c r="E26" s="81">
        <f t="shared" si="5"/>
        <v>2570.2250000000004</v>
      </c>
      <c r="F26" s="81">
        <f t="shared" si="7"/>
        <v>2570.2250000000004</v>
      </c>
      <c r="G26" s="71">
        <v>2600</v>
      </c>
      <c r="H26" s="72" t="s">
        <v>43</v>
      </c>
      <c r="I26" s="74" t="s">
        <v>43</v>
      </c>
      <c r="J26" s="74"/>
      <c r="K26" s="72">
        <v>2630</v>
      </c>
      <c r="L26" s="72" t="s">
        <v>43</v>
      </c>
      <c r="M26" s="83">
        <v>250</v>
      </c>
      <c r="N26" s="83">
        <v>250</v>
      </c>
      <c r="O26" s="49">
        <f t="shared" si="1"/>
        <v>4</v>
      </c>
      <c r="Q26" s="49">
        <f t="shared" si="2"/>
        <v>20</v>
      </c>
      <c r="R26" s="52" t="str">
        <f t="shared" si="3"/>
        <v>Ailanthus altissima</v>
      </c>
      <c r="S26" s="51">
        <f t="shared" si="4"/>
        <v>192.77946470071166</v>
      </c>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row>
    <row r="27" spans="1:1014">
      <c r="A27" s="49">
        <v>21</v>
      </c>
      <c r="B27" s="65" t="s">
        <v>77</v>
      </c>
      <c r="C27" s="65" t="s">
        <v>78</v>
      </c>
      <c r="D27" s="66">
        <f t="shared" si="0"/>
        <v>2778.5715000000005</v>
      </c>
      <c r="E27" s="81">
        <f t="shared" si="5"/>
        <v>2261.7980000000002</v>
      </c>
      <c r="F27" s="81">
        <f t="shared" si="7"/>
        <v>2313.2025000000003</v>
      </c>
      <c r="G27" s="71">
        <v>2700</v>
      </c>
      <c r="H27" s="71">
        <v>3840</v>
      </c>
      <c r="I27" s="75">
        <v>3250</v>
      </c>
      <c r="J27" s="74" t="s">
        <v>43</v>
      </c>
      <c r="K27" s="72">
        <v>2210</v>
      </c>
      <c r="L27" s="72">
        <v>2875</v>
      </c>
      <c r="M27" s="83">
        <v>220</v>
      </c>
      <c r="N27" s="83">
        <v>225</v>
      </c>
      <c r="O27" s="49">
        <f t="shared" si="1"/>
        <v>7</v>
      </c>
      <c r="Q27" s="49">
        <f t="shared" si="2"/>
        <v>21</v>
      </c>
      <c r="R27" s="52" t="str">
        <f t="shared" si="3"/>
        <v>Alnus cordata</v>
      </c>
      <c r="S27" s="51">
        <f t="shared" si="4"/>
        <v>206.60685945263842</v>
      </c>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row>
    <row r="28" spans="1:1014">
      <c r="A28" s="49">
        <v>22</v>
      </c>
      <c r="B28" s="65" t="s">
        <v>79</v>
      </c>
      <c r="C28" s="65" t="s">
        <v>80</v>
      </c>
      <c r="D28" s="66">
        <f t="shared" si="0"/>
        <v>1946.250125</v>
      </c>
      <c r="E28" s="81">
        <f t="shared" si="5"/>
        <v>2261.7980000000002</v>
      </c>
      <c r="F28" s="81">
        <f t="shared" si="7"/>
        <v>2313.2025000000003</v>
      </c>
      <c r="G28" s="72" t="s">
        <v>43</v>
      </c>
      <c r="H28" s="71">
        <v>1640</v>
      </c>
      <c r="I28" s="72" t="s">
        <v>43</v>
      </c>
      <c r="J28" s="74" t="s">
        <v>43</v>
      </c>
      <c r="K28" s="72">
        <v>1570</v>
      </c>
      <c r="L28" s="72" t="s">
        <v>43</v>
      </c>
      <c r="M28" s="83">
        <v>220</v>
      </c>
      <c r="N28" s="83">
        <v>225</v>
      </c>
      <c r="O28" s="49">
        <f t="shared" si="1"/>
        <v>4</v>
      </c>
      <c r="Q28" s="49">
        <f t="shared" si="2"/>
        <v>22</v>
      </c>
      <c r="R28" s="52" t="str">
        <f t="shared" si="3"/>
        <v>Alnus glutinosa</v>
      </c>
      <c r="S28" s="51">
        <f t="shared" si="4"/>
        <v>144.71775372185127</v>
      </c>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row>
    <row r="29" spans="1:1014">
      <c r="A29" s="49">
        <v>23</v>
      </c>
      <c r="B29" s="65" t="s">
        <v>81</v>
      </c>
      <c r="C29" s="65" t="s">
        <v>80</v>
      </c>
      <c r="D29" s="66">
        <f t="shared" si="0"/>
        <v>1852.3333333333333</v>
      </c>
      <c r="E29" s="81"/>
      <c r="F29" s="81"/>
      <c r="G29" s="71">
        <v>2100</v>
      </c>
      <c r="H29" s="71">
        <v>1875</v>
      </c>
      <c r="I29" s="71">
        <v>1920</v>
      </c>
      <c r="J29" s="71">
        <v>1789</v>
      </c>
      <c r="K29" s="72">
        <v>1720</v>
      </c>
      <c r="L29" s="72">
        <v>1710</v>
      </c>
      <c r="M29" s="84" t="s">
        <v>43</v>
      </c>
      <c r="N29" s="84" t="s">
        <v>43</v>
      </c>
      <c r="O29" s="49">
        <f t="shared" si="1"/>
        <v>6</v>
      </c>
      <c r="Q29" s="49">
        <f t="shared" si="2"/>
        <v>23</v>
      </c>
      <c r="R29" s="52" t="str">
        <f t="shared" si="3"/>
        <v>Alnus glutinosa FK Fyris E</v>
      </c>
      <c r="S29" s="51">
        <f t="shared" si="4"/>
        <v>137.7343619408164</v>
      </c>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row>
    <row r="30" spans="1:1014">
      <c r="A30" s="49">
        <v>24</v>
      </c>
      <c r="B30" s="65" t="s">
        <v>82</v>
      </c>
      <c r="C30" s="65" t="s">
        <v>83</v>
      </c>
      <c r="D30" s="66">
        <f t="shared" si="0"/>
        <v>2832.3596000000002</v>
      </c>
      <c r="E30" s="81">
        <f t="shared" si="5"/>
        <v>2261.7980000000002</v>
      </c>
      <c r="F30" s="81"/>
      <c r="G30" s="71">
        <v>3100</v>
      </c>
      <c r="H30" s="71">
        <v>3030</v>
      </c>
      <c r="I30" s="71">
        <v>3040</v>
      </c>
      <c r="J30" s="74" t="s">
        <v>43</v>
      </c>
      <c r="K30" s="72" t="s">
        <v>43</v>
      </c>
      <c r="L30" s="72">
        <v>2730</v>
      </c>
      <c r="M30" s="83">
        <v>220</v>
      </c>
      <c r="N30" s="85" t="s">
        <v>84</v>
      </c>
      <c r="O30" s="49">
        <f t="shared" si="1"/>
        <v>5</v>
      </c>
      <c r="Q30" s="49">
        <f t="shared" si="2"/>
        <v>24</v>
      </c>
      <c r="R30" s="52" t="str">
        <f t="shared" si="3"/>
        <v>Betula ermanii</v>
      </c>
      <c r="S30" s="51">
        <f t="shared" si="4"/>
        <v>210.60639317596511</v>
      </c>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row>
    <row r="31" spans="1:1014">
      <c r="A31" s="49">
        <v>25</v>
      </c>
      <c r="B31" s="65" t="s">
        <v>85</v>
      </c>
      <c r="C31" s="65" t="s">
        <v>86</v>
      </c>
      <c r="D31" s="66">
        <f t="shared" si="0"/>
        <v>2182.0001000000002</v>
      </c>
      <c r="E31" s="81">
        <f t="shared" si="5"/>
        <v>2261.7980000000002</v>
      </c>
      <c r="F31" s="81">
        <f>N31*$C$2</f>
        <v>2313.2025000000003</v>
      </c>
      <c r="G31" s="72" t="s">
        <v>43</v>
      </c>
      <c r="H31" s="71">
        <v>2175</v>
      </c>
      <c r="I31" s="71">
        <v>2170</v>
      </c>
      <c r="J31" s="74" t="s">
        <v>43</v>
      </c>
      <c r="K31" s="72">
        <v>1990</v>
      </c>
      <c r="L31" s="72" t="s">
        <v>43</v>
      </c>
      <c r="M31" s="83">
        <v>220</v>
      </c>
      <c r="N31" s="83">
        <v>225</v>
      </c>
      <c r="O31" s="49">
        <f t="shared" si="1"/>
        <v>5</v>
      </c>
      <c r="Q31" s="49">
        <f t="shared" si="2"/>
        <v>25</v>
      </c>
      <c r="R31" s="52" t="str">
        <f t="shared" si="3"/>
        <v>Betula pendula</v>
      </c>
      <c r="S31" s="51">
        <f t="shared" si="4"/>
        <v>162.24746708383893</v>
      </c>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row>
    <row r="32" spans="1:1014">
      <c r="A32" s="49">
        <v>26</v>
      </c>
      <c r="B32" s="65" t="s">
        <v>87</v>
      </c>
      <c r="C32" s="65" t="s">
        <v>86</v>
      </c>
      <c r="D32" s="66">
        <f t="shared" si="0"/>
        <v>2101.25</v>
      </c>
      <c r="E32" s="81"/>
      <c r="F32" s="81"/>
      <c r="G32" s="71">
        <v>2200</v>
      </c>
      <c r="H32" s="71">
        <v>2175</v>
      </c>
      <c r="I32" s="72" t="s">
        <v>43</v>
      </c>
      <c r="J32" s="74" t="s">
        <v>43</v>
      </c>
      <c r="K32" s="72">
        <v>2100</v>
      </c>
      <c r="L32" s="72">
        <v>1930</v>
      </c>
      <c r="M32" s="84" t="s">
        <v>43</v>
      </c>
      <c r="N32" s="84" t="s">
        <v>43</v>
      </c>
      <c r="O32" s="49">
        <f t="shared" si="1"/>
        <v>4</v>
      </c>
      <c r="Q32" s="49">
        <f t="shared" si="2"/>
        <v>26</v>
      </c>
      <c r="R32" s="52" t="str">
        <f t="shared" si="3"/>
        <v>Betula pendula fk Julita E</v>
      </c>
      <c r="S32" s="51">
        <f t="shared" si="4"/>
        <v>156.24311392557522</v>
      </c>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row>
    <row r="33" spans="1:1014">
      <c r="A33" s="49">
        <v>27</v>
      </c>
      <c r="B33" s="65" t="s">
        <v>88</v>
      </c>
      <c r="C33" s="65" t="s">
        <v>89</v>
      </c>
      <c r="D33" s="66">
        <f t="shared" si="0"/>
        <v>2256.7143571428574</v>
      </c>
      <c r="E33" s="81">
        <f t="shared" si="5"/>
        <v>2261.7980000000002</v>
      </c>
      <c r="F33" s="81">
        <f>N33*$C$2</f>
        <v>2313.2025000000003</v>
      </c>
      <c r="G33" s="71">
        <v>2200</v>
      </c>
      <c r="H33" s="71">
        <v>2290</v>
      </c>
      <c r="I33" s="71">
        <v>2170</v>
      </c>
      <c r="J33" s="71">
        <v>2632</v>
      </c>
      <c r="K33" s="72" t="s">
        <v>43</v>
      </c>
      <c r="L33" s="72">
        <v>1930</v>
      </c>
      <c r="M33" s="83">
        <v>220</v>
      </c>
      <c r="N33" s="83">
        <v>225</v>
      </c>
      <c r="O33" s="49">
        <f t="shared" si="1"/>
        <v>7</v>
      </c>
      <c r="Q33" s="49">
        <f t="shared" si="2"/>
        <v>27</v>
      </c>
      <c r="R33" s="52" t="str">
        <f t="shared" si="3"/>
        <v>Betula pubescens</v>
      </c>
      <c r="S33" s="51">
        <f t="shared" si="4"/>
        <v>167.80301173137545</v>
      </c>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row>
    <row r="34" spans="1:1014">
      <c r="A34" s="49">
        <v>28</v>
      </c>
      <c r="B34" s="65" t="s">
        <v>90</v>
      </c>
      <c r="C34" s="65" t="s">
        <v>91</v>
      </c>
      <c r="D34" s="66">
        <f t="shared" si="0"/>
        <v>2701.0001000000002</v>
      </c>
      <c r="E34" s="81">
        <f t="shared" si="5"/>
        <v>2261.7980000000002</v>
      </c>
      <c r="F34" s="81">
        <f>N34*$C$2</f>
        <v>2313.2025000000003</v>
      </c>
      <c r="G34" s="71">
        <v>2800</v>
      </c>
      <c r="H34" s="71">
        <v>3020</v>
      </c>
      <c r="I34" s="72" t="s">
        <v>43</v>
      </c>
      <c r="J34" s="72" t="s">
        <v>43</v>
      </c>
      <c r="K34" s="72">
        <v>3110</v>
      </c>
      <c r="L34" s="72" t="s">
        <v>43</v>
      </c>
      <c r="M34" s="83">
        <v>220</v>
      </c>
      <c r="N34" s="83">
        <v>225</v>
      </c>
      <c r="O34" s="49">
        <f t="shared" si="1"/>
        <v>5</v>
      </c>
      <c r="Q34" s="49">
        <f t="shared" si="2"/>
        <v>28</v>
      </c>
      <c r="R34" s="52" t="str">
        <f t="shared" si="3"/>
        <v>Carpinus betulus</v>
      </c>
      <c r="S34" s="51">
        <f t="shared" si="4"/>
        <v>200.83886559775851</v>
      </c>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row>
    <row r="35" spans="1:1014">
      <c r="A35" s="49">
        <v>29</v>
      </c>
      <c r="B35" s="65" t="s">
        <v>92</v>
      </c>
      <c r="C35" s="65" t="s">
        <v>91</v>
      </c>
      <c r="D35" s="66">
        <f t="shared" si="0"/>
        <v>3334.1666666666665</v>
      </c>
      <c r="E35" s="81"/>
      <c r="F35" s="81"/>
      <c r="G35" s="71">
        <v>3400</v>
      </c>
      <c r="H35" s="71">
        <v>3315</v>
      </c>
      <c r="I35" s="71">
        <v>3560</v>
      </c>
      <c r="J35" s="71">
        <v>3225</v>
      </c>
      <c r="K35" s="72">
        <v>3290</v>
      </c>
      <c r="L35" s="72">
        <v>3215</v>
      </c>
      <c r="M35" s="84" t="s">
        <v>43</v>
      </c>
      <c r="N35" s="84" t="s">
        <v>43</v>
      </c>
      <c r="O35" s="49">
        <f t="shared" si="1"/>
        <v>6</v>
      </c>
      <c r="Q35" s="49">
        <f t="shared" si="2"/>
        <v>29</v>
      </c>
      <c r="R35" s="52" t="str">
        <f t="shared" si="3"/>
        <v>Carpinus betulus FK Carin E</v>
      </c>
      <c r="S35" s="51">
        <f t="shared" si="4"/>
        <v>247.91937291938385</v>
      </c>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row>
    <row r="36" spans="1:1014">
      <c r="A36" s="49">
        <v>30</v>
      </c>
      <c r="B36" s="65" t="s">
        <v>93</v>
      </c>
      <c r="C36" s="65" t="s">
        <v>94</v>
      </c>
      <c r="D36" s="66">
        <f t="shared" si="0"/>
        <v>3665.6517857142858</v>
      </c>
      <c r="E36" s="81">
        <f t="shared" si="5"/>
        <v>3187.0790000000002</v>
      </c>
      <c r="F36" s="81">
        <f>N36*$C$2</f>
        <v>3238.4835000000003</v>
      </c>
      <c r="G36" s="71">
        <v>3650</v>
      </c>
      <c r="H36" s="71">
        <v>4195</v>
      </c>
      <c r="I36" s="71">
        <v>3870</v>
      </c>
      <c r="J36" s="71">
        <v>3839</v>
      </c>
      <c r="K36" s="72">
        <v>3680</v>
      </c>
      <c r="L36" s="72" t="s">
        <v>43</v>
      </c>
      <c r="M36" s="83">
        <v>310</v>
      </c>
      <c r="N36" s="83">
        <v>315</v>
      </c>
      <c r="O36" s="49">
        <f t="shared" si="1"/>
        <v>7</v>
      </c>
      <c r="Q36" s="49">
        <f t="shared" si="2"/>
        <v>30</v>
      </c>
      <c r="R36" s="52" t="str">
        <f t="shared" si="3"/>
        <v>Carpinus betulus 'Fastigiata'</v>
      </c>
      <c r="S36" s="51">
        <f t="shared" si="4"/>
        <v>272.56768569510785</v>
      </c>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row>
    <row r="37" spans="1:1014">
      <c r="A37" s="49">
        <v>31</v>
      </c>
      <c r="B37" s="65" t="s">
        <v>95</v>
      </c>
      <c r="C37" s="65" t="s">
        <v>96</v>
      </c>
      <c r="D37" s="66">
        <f t="shared" si="0"/>
        <v>2782.9214285714288</v>
      </c>
      <c r="E37" s="81">
        <f t="shared" si="5"/>
        <v>2570.2250000000004</v>
      </c>
      <c r="F37" s="81">
        <f>N37*$C$2</f>
        <v>2570.2250000000004</v>
      </c>
      <c r="G37" s="71">
        <v>2900</v>
      </c>
      <c r="H37" s="71">
        <v>3260</v>
      </c>
      <c r="I37" s="71">
        <v>2510</v>
      </c>
      <c r="J37" s="73" t="s">
        <v>43</v>
      </c>
      <c r="K37" s="72">
        <v>2960</v>
      </c>
      <c r="L37" s="72">
        <v>2710</v>
      </c>
      <c r="M37" s="83">
        <v>250</v>
      </c>
      <c r="N37" s="83">
        <v>250</v>
      </c>
      <c r="O37" s="49">
        <f t="shared" si="1"/>
        <v>7</v>
      </c>
      <c r="Q37" s="49">
        <f t="shared" si="2"/>
        <v>31</v>
      </c>
      <c r="R37" s="52" t="str">
        <f t="shared" si="3"/>
        <v>Castanea sativa</v>
      </c>
      <c r="S37" s="51">
        <f t="shared" si="4"/>
        <v>206.93030805958847</v>
      </c>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row>
    <row r="38" spans="1:1014">
      <c r="A38" s="49">
        <v>32</v>
      </c>
      <c r="B38" s="65" t="s">
        <v>97</v>
      </c>
      <c r="C38" s="65" t="s">
        <v>98</v>
      </c>
      <c r="D38" s="66">
        <f t="shared" si="0"/>
        <v>2420.0000714285716</v>
      </c>
      <c r="E38" s="81">
        <f t="shared" si="5"/>
        <v>2261.7980000000002</v>
      </c>
      <c r="F38" s="81">
        <f>N38*$C$2</f>
        <v>2313.2025000000003</v>
      </c>
      <c r="G38" s="71">
        <v>2600</v>
      </c>
      <c r="H38" s="71">
        <v>2640</v>
      </c>
      <c r="I38" s="71">
        <v>2510</v>
      </c>
      <c r="J38" s="73" t="s">
        <v>43</v>
      </c>
      <c r="K38" s="72">
        <v>2420</v>
      </c>
      <c r="L38" s="72">
        <v>2195</v>
      </c>
      <c r="M38" s="83">
        <v>220</v>
      </c>
      <c r="N38" s="83">
        <v>225</v>
      </c>
      <c r="O38" s="49">
        <f t="shared" si="1"/>
        <v>7</v>
      </c>
      <c r="Q38" s="49">
        <f t="shared" si="2"/>
        <v>32</v>
      </c>
      <c r="R38" s="52" t="str">
        <f t="shared" si="3"/>
        <v>Catalpa bignonioides</v>
      </c>
      <c r="S38" s="51">
        <f t="shared" si="4"/>
        <v>179.94448393104793</v>
      </c>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row>
    <row r="39" spans="1:1014">
      <c r="A39" s="49">
        <v>33</v>
      </c>
      <c r="B39" s="65" t="s">
        <v>99</v>
      </c>
      <c r="C39" s="65" t="s">
        <v>100</v>
      </c>
      <c r="D39" s="66">
        <f t="shared" ref="D39:D70" si="8">AVERAGE(E39:L39)</f>
        <v>3881.0397500000004</v>
      </c>
      <c r="E39" s="81">
        <f t="shared" si="5"/>
        <v>4420.7870000000003</v>
      </c>
      <c r="F39" s="81">
        <f>N39*$C$2</f>
        <v>3341.2925000000005</v>
      </c>
      <c r="G39" s="72" t="s">
        <v>43</v>
      </c>
      <c r="H39" s="72" t="s">
        <v>43</v>
      </c>
      <c r="I39" s="72" t="s">
        <v>43</v>
      </c>
      <c r="J39" s="73" t="s">
        <v>43</v>
      </c>
      <c r="K39" s="72" t="s">
        <v>43</v>
      </c>
      <c r="L39" s="72" t="s">
        <v>43</v>
      </c>
      <c r="M39" s="83">
        <v>430</v>
      </c>
      <c r="N39" s="83">
        <v>325</v>
      </c>
      <c r="O39" s="49">
        <f t="shared" ref="O39:O70" si="9">COUNT(E39:L39)</f>
        <v>2</v>
      </c>
      <c r="Q39" s="49">
        <f t="shared" ref="Q39:Q70" si="10">A39</f>
        <v>33</v>
      </c>
      <c r="R39" s="52" t="str">
        <f t="shared" ref="R39:R70" si="11">B39</f>
        <v>Cercidiphyllum japonicum</v>
      </c>
      <c r="S39" s="51">
        <f t="shared" ref="S39:S70" si="12">D39/$C$3</f>
        <v>288.58333649443711</v>
      </c>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row>
    <row r="40" spans="1:1014">
      <c r="A40" s="49">
        <v>34</v>
      </c>
      <c r="B40" s="65" t="s">
        <v>101</v>
      </c>
      <c r="C40" s="65" t="s">
        <v>100</v>
      </c>
      <c r="D40" s="66">
        <f t="shared" si="8"/>
        <v>4546.09</v>
      </c>
      <c r="E40" s="81">
        <f t="shared" si="5"/>
        <v>5140.4500000000007</v>
      </c>
      <c r="F40" s="81"/>
      <c r="G40" s="71">
        <v>4600</v>
      </c>
      <c r="H40" s="71">
        <v>4405</v>
      </c>
      <c r="I40" s="71">
        <v>4460</v>
      </c>
      <c r="J40" s="73" t="s">
        <v>43</v>
      </c>
      <c r="K40" s="72" t="s">
        <v>43</v>
      </c>
      <c r="L40" s="72">
        <v>4125</v>
      </c>
      <c r="M40" s="83">
        <v>500</v>
      </c>
      <c r="N40" s="84" t="s">
        <v>43</v>
      </c>
      <c r="O40" s="49">
        <f t="shared" si="9"/>
        <v>5</v>
      </c>
      <c r="Q40" s="49">
        <f t="shared" si="10"/>
        <v>34</v>
      </c>
      <c r="R40" s="52" t="str">
        <f t="shared" si="11"/>
        <v>Cercidiphyllum japonicum FK Göteborg E</v>
      </c>
      <c r="S40" s="51">
        <f t="shared" si="12"/>
        <v>338.03462595403602</v>
      </c>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row>
    <row r="41" spans="1:1014">
      <c r="A41" s="49">
        <v>35</v>
      </c>
      <c r="B41" s="65" t="s">
        <v>102</v>
      </c>
      <c r="C41" s="65" t="s">
        <v>103</v>
      </c>
      <c r="D41" s="66">
        <f t="shared" si="8"/>
        <v>2522.8062500000001</v>
      </c>
      <c r="E41" s="81">
        <f t="shared" si="5"/>
        <v>2570.2250000000004</v>
      </c>
      <c r="F41" s="81">
        <f>N41*$C$2</f>
        <v>2570.2250000000004</v>
      </c>
      <c r="G41" s="71">
        <v>2600</v>
      </c>
      <c r="H41" s="71">
        <v>2555</v>
      </c>
      <c r="I41" s="71">
        <v>2420</v>
      </c>
      <c r="J41" s="71">
        <v>2472</v>
      </c>
      <c r="K41" s="72">
        <v>2840</v>
      </c>
      <c r="L41" s="72">
        <v>2155</v>
      </c>
      <c r="M41" s="83">
        <v>250</v>
      </c>
      <c r="N41" s="83">
        <v>250</v>
      </c>
      <c r="O41" s="49">
        <f t="shared" si="9"/>
        <v>8</v>
      </c>
      <c r="Q41" s="49">
        <f t="shared" si="10"/>
        <v>35</v>
      </c>
      <c r="R41" s="52" t="str">
        <f t="shared" si="11"/>
        <v>Corylus colurna</v>
      </c>
      <c r="S41" s="51">
        <f t="shared" si="12"/>
        <v>187.58886583267255</v>
      </c>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row>
    <row r="42" spans="1:1014">
      <c r="A42" s="49">
        <v>36</v>
      </c>
      <c r="B42" s="65" t="s">
        <v>104</v>
      </c>
      <c r="C42" s="65" t="s">
        <v>105</v>
      </c>
      <c r="D42" s="66">
        <f t="shared" si="8"/>
        <v>3141.5089285714284</v>
      </c>
      <c r="E42" s="81">
        <f t="shared" si="5"/>
        <v>3187.0790000000002</v>
      </c>
      <c r="F42" s="81">
        <f>N42*$C$2</f>
        <v>3238.4835000000003</v>
      </c>
      <c r="G42" s="71">
        <v>3100</v>
      </c>
      <c r="H42" s="71">
        <v>3330</v>
      </c>
      <c r="I42" s="71">
        <v>3160</v>
      </c>
      <c r="J42" s="73" t="s">
        <v>43</v>
      </c>
      <c r="K42" s="72">
        <v>3140</v>
      </c>
      <c r="L42" s="72">
        <v>2835</v>
      </c>
      <c r="M42" s="83">
        <v>310</v>
      </c>
      <c r="N42" s="83">
        <v>315</v>
      </c>
      <c r="O42" s="49">
        <f t="shared" si="9"/>
        <v>7</v>
      </c>
      <c r="Q42" s="49">
        <f t="shared" si="10"/>
        <v>36</v>
      </c>
      <c r="R42" s="52" t="str">
        <f t="shared" si="11"/>
        <v>Crataegus carrierei</v>
      </c>
      <c r="S42" s="51">
        <f t="shared" si="12"/>
        <v>233.59387860797023</v>
      </c>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row>
    <row r="43" spans="1:1014">
      <c r="A43" s="49">
        <v>37</v>
      </c>
      <c r="B43" s="65" t="s">
        <v>106</v>
      </c>
      <c r="C43" s="65" t="s">
        <v>107</v>
      </c>
      <c r="D43" s="66">
        <f t="shared" si="8"/>
        <v>3212.78125</v>
      </c>
      <c r="E43" s="81">
        <f t="shared" si="5"/>
        <v>3187.0790000000002</v>
      </c>
      <c r="F43" s="81">
        <f>N43*$C$2</f>
        <v>3238.4835000000003</v>
      </c>
      <c r="G43" s="72" t="s">
        <v>43</v>
      </c>
      <c r="H43" s="72" t="s">
        <v>43</v>
      </c>
      <c r="I43" s="72" t="s">
        <v>43</v>
      </c>
      <c r="J43" s="72" t="s">
        <v>43</v>
      </c>
      <c r="K43" s="72" t="s">
        <v>43</v>
      </c>
      <c r="L43" s="72" t="s">
        <v>43</v>
      </c>
      <c r="M43" s="83">
        <v>310</v>
      </c>
      <c r="N43" s="83">
        <v>315</v>
      </c>
      <c r="O43" s="49">
        <f t="shared" si="9"/>
        <v>2</v>
      </c>
      <c r="Q43" s="49">
        <f t="shared" si="10"/>
        <v>37</v>
      </c>
      <c r="R43" s="52" t="str">
        <f t="shared" si="11"/>
        <v>Crataegus crus-galli</v>
      </c>
      <c r="S43" s="51">
        <f t="shared" si="12"/>
        <v>238.89349047552739</v>
      </c>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row>
    <row r="44" spans="1:1014">
      <c r="A44" s="49">
        <v>38</v>
      </c>
      <c r="B44" s="65" t="s">
        <v>108</v>
      </c>
      <c r="C44" s="65" t="s">
        <v>109</v>
      </c>
      <c r="D44" s="66" t="e">
        <f t="shared" si="8"/>
        <v>#DIV/0!</v>
      </c>
      <c r="E44" s="81"/>
      <c r="F44" s="81"/>
      <c r="G44" s="72" t="s">
        <v>43</v>
      </c>
      <c r="H44" s="72" t="s">
        <v>43</v>
      </c>
      <c r="I44" s="72" t="s">
        <v>43</v>
      </c>
      <c r="J44" s="72" t="s">
        <v>43</v>
      </c>
      <c r="K44" s="72" t="s">
        <v>43</v>
      </c>
      <c r="L44" s="72" t="s">
        <v>43</v>
      </c>
      <c r="M44" s="84" t="s">
        <v>84</v>
      </c>
      <c r="N44" s="85" t="s">
        <v>84</v>
      </c>
      <c r="O44" s="49">
        <f t="shared" si="9"/>
        <v>0</v>
      </c>
      <c r="Q44" s="49">
        <f t="shared" si="10"/>
        <v>38</v>
      </c>
      <c r="R44" s="52" t="str">
        <f t="shared" si="11"/>
        <v>Crataegus laevigata</v>
      </c>
      <c r="S44" s="51" t="e">
        <f t="shared" si="12"/>
        <v>#DIV/0!</v>
      </c>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row>
    <row r="45" spans="1:1014">
      <c r="A45" s="49">
        <v>39</v>
      </c>
      <c r="B45" s="65" t="s">
        <v>110</v>
      </c>
      <c r="C45" s="65" t="s">
        <v>111</v>
      </c>
      <c r="D45" s="66">
        <f t="shared" si="8"/>
        <v>3598.3150000000005</v>
      </c>
      <c r="E45" s="81">
        <f t="shared" si="5"/>
        <v>3598.3150000000005</v>
      </c>
      <c r="F45" s="81">
        <f>N45*$C$2</f>
        <v>3598.3150000000005</v>
      </c>
      <c r="G45" s="72" t="s">
        <v>43</v>
      </c>
      <c r="H45" s="73" t="s">
        <v>112</v>
      </c>
      <c r="I45" s="72" t="s">
        <v>43</v>
      </c>
      <c r="J45" s="72" t="s">
        <v>84</v>
      </c>
      <c r="K45" s="72" t="s">
        <v>43</v>
      </c>
      <c r="L45" s="72" t="s">
        <v>43</v>
      </c>
      <c r="M45" s="83">
        <v>350</v>
      </c>
      <c r="N45" s="83">
        <v>350</v>
      </c>
      <c r="O45" s="49">
        <f t="shared" si="9"/>
        <v>2</v>
      </c>
      <c r="Q45" s="49">
        <f t="shared" si="10"/>
        <v>39</v>
      </c>
      <c r="R45" s="52" t="str">
        <f t="shared" si="11"/>
        <v>Crataegus monogyna</v>
      </c>
      <c r="S45" s="51">
        <f t="shared" si="12"/>
        <v>267.5607093325907</v>
      </c>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row>
    <row r="46" spans="1:1014">
      <c r="A46" s="49">
        <v>40</v>
      </c>
      <c r="B46" s="65" t="s">
        <v>113</v>
      </c>
      <c r="C46" s="65" t="s">
        <v>114</v>
      </c>
      <c r="D46" s="66">
        <f t="shared" si="8"/>
        <v>3284.2417500000001</v>
      </c>
      <c r="E46" s="81"/>
      <c r="F46" s="81">
        <f>N46*$C$2</f>
        <v>3238.4835000000003</v>
      </c>
      <c r="G46" s="72" t="s">
        <v>43</v>
      </c>
      <c r="H46" s="71">
        <v>3330</v>
      </c>
      <c r="I46" s="72" t="s">
        <v>43</v>
      </c>
      <c r="J46" s="72" t="s">
        <v>43</v>
      </c>
      <c r="K46" s="72" t="s">
        <v>43</v>
      </c>
      <c r="L46" s="72" t="s">
        <v>43</v>
      </c>
      <c r="M46" s="84" t="s">
        <v>43</v>
      </c>
      <c r="N46" s="83">
        <v>315</v>
      </c>
      <c r="O46" s="49">
        <f t="shared" si="9"/>
        <v>2</v>
      </c>
      <c r="Q46" s="49">
        <f t="shared" si="10"/>
        <v>40</v>
      </c>
      <c r="R46" s="52" t="str">
        <f t="shared" si="11"/>
        <v>Crataegus prunifolia 'Splendens'</v>
      </c>
      <c r="S46" s="51">
        <f t="shared" si="12"/>
        <v>244.20709477900323</v>
      </c>
      <c r="T46" s="5"/>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row>
    <row r="47" spans="1:1014">
      <c r="A47" s="49">
        <v>41</v>
      </c>
      <c r="B47" s="65" t="s">
        <v>115</v>
      </c>
      <c r="C47" s="65" t="s">
        <v>116</v>
      </c>
      <c r="D47" s="66">
        <f t="shared" si="8"/>
        <v>3207.1208750000001</v>
      </c>
      <c r="E47" s="81"/>
      <c r="F47" s="81">
        <f>N47*$C$2</f>
        <v>3238.4835000000003</v>
      </c>
      <c r="G47" s="71">
        <v>3100</v>
      </c>
      <c r="H47" s="71">
        <v>3330</v>
      </c>
      <c r="I47" s="71">
        <v>3160</v>
      </c>
      <c r="J47" s="73" t="s">
        <v>43</v>
      </c>
      <c r="K47" s="72" t="s">
        <v>43</v>
      </c>
      <c r="L47" s="72" t="s">
        <v>43</v>
      </c>
      <c r="M47" s="84" t="s">
        <v>43</v>
      </c>
      <c r="N47" s="83">
        <v>315</v>
      </c>
      <c r="O47" s="49">
        <f t="shared" si="9"/>
        <v>4</v>
      </c>
      <c r="Q47" s="49">
        <f t="shared" si="10"/>
        <v>41</v>
      </c>
      <c r="R47" s="52" t="str">
        <f t="shared" si="11"/>
        <v>Crataegus x persimilis (prunifolia)</v>
      </c>
      <c r="S47" s="51">
        <f t="shared" si="12"/>
        <v>238.47260071182174</v>
      </c>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row>
    <row r="48" spans="1:1014">
      <c r="A48" s="49">
        <v>42</v>
      </c>
      <c r="B48" s="65" t="s">
        <v>117</v>
      </c>
      <c r="C48" s="65" t="s">
        <v>118</v>
      </c>
      <c r="D48" s="66">
        <f t="shared" si="8"/>
        <v>2936.7416666666668</v>
      </c>
      <c r="E48" s="81">
        <f t="shared" si="5"/>
        <v>2570.2250000000004</v>
      </c>
      <c r="F48" s="81">
        <f>N48*$C$2</f>
        <v>2570.2250000000004</v>
      </c>
      <c r="G48" s="71">
        <v>3100</v>
      </c>
      <c r="H48" s="71">
        <v>3250</v>
      </c>
      <c r="I48" s="71">
        <v>3170</v>
      </c>
      <c r="J48" s="73" t="s">
        <v>119</v>
      </c>
      <c r="K48" s="72">
        <v>2960</v>
      </c>
      <c r="L48" s="72" t="s">
        <v>43</v>
      </c>
      <c r="M48" s="83">
        <v>250</v>
      </c>
      <c r="N48" s="83">
        <v>250</v>
      </c>
      <c r="O48" s="49">
        <f t="shared" si="9"/>
        <v>6</v>
      </c>
      <c r="Q48" s="49">
        <f t="shared" si="10"/>
        <v>42</v>
      </c>
      <c r="R48" s="52" t="str">
        <f t="shared" si="11"/>
        <v>Fagus sylvatica</v>
      </c>
      <c r="S48" s="51">
        <f t="shared" si="12"/>
        <v>218.36795373943303</v>
      </c>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row>
    <row r="49" spans="1:1014">
      <c r="A49" s="49">
        <v>43</v>
      </c>
      <c r="B49" s="65" t="s">
        <v>120</v>
      </c>
      <c r="C49" s="65"/>
      <c r="D49" s="66">
        <f t="shared" si="8"/>
        <v>3267.5</v>
      </c>
      <c r="E49" s="81"/>
      <c r="F49" s="81"/>
      <c r="G49" s="71">
        <v>3300</v>
      </c>
      <c r="H49" s="71">
        <v>3390</v>
      </c>
      <c r="I49" s="71">
        <v>3430</v>
      </c>
      <c r="J49" s="71">
        <v>3265</v>
      </c>
      <c r="K49" s="72">
        <v>3110</v>
      </c>
      <c r="L49" s="72">
        <v>3110</v>
      </c>
      <c r="M49" s="84" t="s">
        <v>43</v>
      </c>
      <c r="N49" s="84" t="s">
        <v>43</v>
      </c>
      <c r="O49" s="49">
        <f t="shared" si="9"/>
        <v>6</v>
      </c>
      <c r="Q49" s="49">
        <f t="shared" si="10"/>
        <v>43</v>
      </c>
      <c r="R49" s="52" t="str">
        <f t="shared" si="11"/>
        <v>Fagus sylvatica FK Gottåsa/Hallandsås E</v>
      </c>
      <c r="S49" s="51">
        <f t="shared" si="12"/>
        <v>242.96222474803903</v>
      </c>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row>
    <row r="50" spans="1:1014">
      <c r="A50" s="49">
        <v>44</v>
      </c>
      <c r="B50" s="65" t="s">
        <v>121</v>
      </c>
      <c r="C50" s="65" t="s">
        <v>122</v>
      </c>
      <c r="D50" s="66">
        <f t="shared" si="8"/>
        <v>3658.605</v>
      </c>
      <c r="E50" s="81">
        <f t="shared" si="5"/>
        <v>3598.3150000000005</v>
      </c>
      <c r="F50" s="81">
        <f>N50*$C$2</f>
        <v>3598.3150000000005</v>
      </c>
      <c r="G50" s="71">
        <v>3600</v>
      </c>
      <c r="H50" s="71">
        <v>3970</v>
      </c>
      <c r="I50" s="71">
        <v>3760</v>
      </c>
      <c r="J50" s="73" t="s">
        <v>119</v>
      </c>
      <c r="K50" s="72" t="s">
        <v>43</v>
      </c>
      <c r="L50" s="72">
        <v>3425</v>
      </c>
      <c r="M50" s="83">
        <v>350</v>
      </c>
      <c r="N50" s="83">
        <v>350</v>
      </c>
      <c r="O50" s="49">
        <f t="shared" si="9"/>
        <v>6</v>
      </c>
      <c r="Q50" s="49">
        <f t="shared" si="10"/>
        <v>44</v>
      </c>
      <c r="R50" s="52" t="str">
        <f t="shared" si="11"/>
        <v>Fagus sylvatica 'Atropunicea'</v>
      </c>
      <c r="S50" s="51">
        <f t="shared" si="12"/>
        <v>272.04370628134637</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row>
    <row r="51" spans="1:1014" ht="28.5">
      <c r="A51" s="49">
        <v>45</v>
      </c>
      <c r="B51" s="67" t="s">
        <v>123</v>
      </c>
      <c r="C51" s="67" t="s">
        <v>124</v>
      </c>
      <c r="D51" s="66">
        <f t="shared" si="8"/>
        <v>3777.8630000000003</v>
      </c>
      <c r="E51" s="81">
        <f t="shared" si="5"/>
        <v>3598.3150000000005</v>
      </c>
      <c r="F51" s="81"/>
      <c r="G51" s="75">
        <v>3800</v>
      </c>
      <c r="H51" s="76" t="s">
        <v>125</v>
      </c>
      <c r="I51" s="75">
        <v>3730</v>
      </c>
      <c r="J51" s="75">
        <v>4276</v>
      </c>
      <c r="K51" s="76" t="s">
        <v>43</v>
      </c>
      <c r="L51" s="76">
        <v>3485</v>
      </c>
      <c r="M51" s="86">
        <v>350</v>
      </c>
      <c r="N51" s="87" t="s">
        <v>126</v>
      </c>
      <c r="O51" s="49">
        <f t="shared" si="9"/>
        <v>5</v>
      </c>
      <c r="Q51" s="49">
        <f t="shared" si="10"/>
        <v>45</v>
      </c>
      <c r="R51" s="52" t="str">
        <f t="shared" si="11"/>
        <v>Fagus sylvatica 'Pendula'</v>
      </c>
      <c r="S51" s="51">
        <f t="shared" si="12"/>
        <v>280.91139993062006</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row>
    <row r="52" spans="1:1014">
      <c r="A52" s="49">
        <v>46</v>
      </c>
      <c r="B52" s="65" t="s">
        <v>127</v>
      </c>
      <c r="C52" s="65" t="s">
        <v>128</v>
      </c>
      <c r="D52" s="66">
        <f t="shared" si="8"/>
        <v>2121.3335000000002</v>
      </c>
      <c r="E52" s="81">
        <f t="shared" si="5"/>
        <v>2261.7980000000002</v>
      </c>
      <c r="F52" s="81">
        <f>N52*$C$2</f>
        <v>2313.2025000000003</v>
      </c>
      <c r="G52" s="73" t="s">
        <v>43</v>
      </c>
      <c r="H52" s="72" t="s">
        <v>43</v>
      </c>
      <c r="I52" s="72" t="s">
        <v>43</v>
      </c>
      <c r="J52" s="71">
        <v>1789</v>
      </c>
      <c r="K52" s="72" t="s">
        <v>43</v>
      </c>
      <c r="L52" s="72" t="s">
        <v>43</v>
      </c>
      <c r="M52" s="83">
        <v>220</v>
      </c>
      <c r="N52" s="83">
        <v>225</v>
      </c>
      <c r="O52" s="49">
        <f t="shared" si="9"/>
        <v>3</v>
      </c>
      <c r="Q52" s="49">
        <f t="shared" si="10"/>
        <v>46</v>
      </c>
      <c r="R52" s="52" t="str">
        <f t="shared" si="11"/>
        <v>Fraxinus excelsior</v>
      </c>
      <c r="S52" s="51">
        <f t="shared" si="12"/>
        <v>157.73646720506329</v>
      </c>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row>
    <row r="53" spans="1:1014">
      <c r="A53" s="49">
        <v>47</v>
      </c>
      <c r="B53" s="65" t="s">
        <v>129</v>
      </c>
      <c r="C53" s="65" t="s">
        <v>130</v>
      </c>
      <c r="D53" s="66">
        <f t="shared" si="8"/>
        <v>3057.1875</v>
      </c>
      <c r="E53" s="81">
        <f t="shared" si="5"/>
        <v>3187.0790000000002</v>
      </c>
      <c r="F53" s="81">
        <f>N53*$C$2</f>
        <v>3238.4835000000003</v>
      </c>
      <c r="G53" s="73" t="s">
        <v>43</v>
      </c>
      <c r="H53" s="72" t="s">
        <v>43</v>
      </c>
      <c r="I53" s="72" t="s">
        <v>43</v>
      </c>
      <c r="J53" s="71">
        <v>2746</v>
      </c>
      <c r="K53" s="72" t="s">
        <v>43</v>
      </c>
      <c r="L53" s="72" t="s">
        <v>43</v>
      </c>
      <c r="M53" s="83">
        <v>310</v>
      </c>
      <c r="N53" s="83">
        <v>315</v>
      </c>
      <c r="O53" s="49">
        <f t="shared" si="9"/>
        <v>3</v>
      </c>
      <c r="Q53" s="49">
        <f t="shared" si="10"/>
        <v>47</v>
      </c>
      <c r="R53" s="52" t="str">
        <f t="shared" si="11"/>
        <v>Fraxinus excelsior 'Pendula'</v>
      </c>
      <c r="S53" s="51">
        <f t="shared" si="12"/>
        <v>227.3239713762496</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row>
    <row r="54" spans="1:1014">
      <c r="A54" s="49">
        <v>48</v>
      </c>
      <c r="B54" s="65" t="s">
        <v>131</v>
      </c>
      <c r="C54" s="65" t="s">
        <v>128</v>
      </c>
      <c r="D54" s="66">
        <f t="shared" si="8"/>
        <v>1980.2660000000003</v>
      </c>
      <c r="E54" s="81">
        <f t="shared" si="5"/>
        <v>2261.7980000000002</v>
      </c>
      <c r="F54" s="81"/>
      <c r="G54" s="73" t="s">
        <v>43</v>
      </c>
      <c r="H54" s="72" t="s">
        <v>43</v>
      </c>
      <c r="I54" s="72" t="s">
        <v>43</v>
      </c>
      <c r="J54" s="71">
        <v>1789</v>
      </c>
      <c r="K54" s="72">
        <v>1890</v>
      </c>
      <c r="L54" s="72" t="s">
        <v>43</v>
      </c>
      <c r="M54" s="83">
        <v>220</v>
      </c>
      <c r="N54" s="84" t="s">
        <v>43</v>
      </c>
      <c r="O54" s="49">
        <f t="shared" si="9"/>
        <v>3</v>
      </c>
      <c r="Q54" s="49">
        <f t="shared" si="10"/>
        <v>48</v>
      </c>
      <c r="R54" s="52" t="str">
        <f t="shared" si="11"/>
        <v>Fraxinus excelsior 'Westhof's Glorie'</v>
      </c>
      <c r="S54" s="51">
        <f t="shared" si="12"/>
        <v>147.24707971014547</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row>
    <row r="55" spans="1:1014">
      <c r="A55" s="49">
        <v>49</v>
      </c>
      <c r="B55" s="65" t="s">
        <v>132</v>
      </c>
      <c r="C55" s="65" t="s">
        <v>133</v>
      </c>
      <c r="D55" s="66">
        <f t="shared" si="8"/>
        <v>3172.5843571428568</v>
      </c>
      <c r="E55" s="81">
        <f t="shared" si="5"/>
        <v>2364.607</v>
      </c>
      <c r="F55" s="81">
        <f t="shared" ref="F55:F63" si="13">N55*$C$2</f>
        <v>3238.4835000000003</v>
      </c>
      <c r="G55" s="71">
        <v>3200</v>
      </c>
      <c r="H55" s="71">
        <v>3690</v>
      </c>
      <c r="I55" s="71">
        <v>3400</v>
      </c>
      <c r="J55" s="73" t="s">
        <v>43</v>
      </c>
      <c r="K55" s="72">
        <v>3310</v>
      </c>
      <c r="L55" s="72">
        <v>3005</v>
      </c>
      <c r="M55" s="83">
        <v>230</v>
      </c>
      <c r="N55" s="83">
        <v>315</v>
      </c>
      <c r="O55" s="49">
        <f t="shared" si="9"/>
        <v>7</v>
      </c>
      <c r="Q55" s="49">
        <f t="shared" si="10"/>
        <v>49</v>
      </c>
      <c r="R55" s="52" t="str">
        <f t="shared" si="11"/>
        <v>Fraxinus ornus</v>
      </c>
      <c r="S55" s="51">
        <f t="shared" si="12"/>
        <v>235.90456116671942</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row>
    <row r="56" spans="1:1014">
      <c r="A56" s="49">
        <v>50</v>
      </c>
      <c r="B56" s="65" t="s">
        <v>134</v>
      </c>
      <c r="C56" s="65" t="s">
        <v>135</v>
      </c>
      <c r="D56" s="66">
        <f t="shared" si="8"/>
        <v>3698.8203125</v>
      </c>
      <c r="E56" s="81">
        <f t="shared" si="5"/>
        <v>3187.0790000000002</v>
      </c>
      <c r="F56" s="81">
        <f t="shared" si="13"/>
        <v>3238.4835000000003</v>
      </c>
      <c r="G56" s="71">
        <v>3800</v>
      </c>
      <c r="H56" s="71">
        <v>3770</v>
      </c>
      <c r="I56" s="71">
        <v>3790</v>
      </c>
      <c r="J56" s="71">
        <v>4150</v>
      </c>
      <c r="K56" s="72">
        <v>3740</v>
      </c>
      <c r="L56" s="72">
        <v>3915</v>
      </c>
      <c r="M56" s="83">
        <v>310</v>
      </c>
      <c r="N56" s="83">
        <v>315</v>
      </c>
      <c r="O56" s="49">
        <f t="shared" si="9"/>
        <v>8</v>
      </c>
      <c r="Q56" s="49">
        <f t="shared" si="10"/>
        <v>50</v>
      </c>
      <c r="R56" s="52" t="str">
        <f t="shared" si="11"/>
        <v>Ginkgo biloba</v>
      </c>
      <c r="S56" s="51">
        <f t="shared" si="12"/>
        <v>275.03400522363791</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row>
    <row r="57" spans="1:1014">
      <c r="A57" s="49">
        <v>51</v>
      </c>
      <c r="B57" s="65" t="s">
        <v>136</v>
      </c>
      <c r="C57" s="65" t="s">
        <v>137</v>
      </c>
      <c r="D57" s="66">
        <f t="shared" si="8"/>
        <v>3338.4607999999998</v>
      </c>
      <c r="E57" s="81">
        <f t="shared" si="5"/>
        <v>2878.652</v>
      </c>
      <c r="F57" s="81">
        <f t="shared" si="13"/>
        <v>2878.652</v>
      </c>
      <c r="G57" s="71">
        <v>3400</v>
      </c>
      <c r="H57" s="71">
        <v>3875</v>
      </c>
      <c r="I57" s="71">
        <v>3660</v>
      </c>
      <c r="J57" s="73" t="s">
        <v>43</v>
      </c>
      <c r="K57" s="72" t="s">
        <v>43</v>
      </c>
      <c r="L57" s="72" t="s">
        <v>43</v>
      </c>
      <c r="M57" s="83">
        <v>280</v>
      </c>
      <c r="N57" s="83">
        <v>280</v>
      </c>
      <c r="O57" s="49">
        <f t="shared" si="9"/>
        <v>5</v>
      </c>
      <c r="Q57" s="49">
        <f t="shared" si="10"/>
        <v>51</v>
      </c>
      <c r="R57" s="52" t="str">
        <f t="shared" si="11"/>
        <v>Gleditsia triacanthos</v>
      </c>
      <c r="S57" s="51">
        <f t="shared" si="12"/>
        <v>248.23867274739652</v>
      </c>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row>
    <row r="58" spans="1:1014">
      <c r="A58" s="49">
        <v>52</v>
      </c>
      <c r="B58" s="65" t="s">
        <v>138</v>
      </c>
      <c r="C58" s="65" t="s">
        <v>137</v>
      </c>
      <c r="D58" s="66">
        <f t="shared" si="8"/>
        <v>3223.9005714285713</v>
      </c>
      <c r="E58" s="81">
        <f t="shared" si="5"/>
        <v>2878.652</v>
      </c>
      <c r="F58" s="81">
        <f t="shared" si="13"/>
        <v>2878.652</v>
      </c>
      <c r="G58" s="71">
        <v>3400</v>
      </c>
      <c r="H58" s="71">
        <v>3875</v>
      </c>
      <c r="I58" s="72" t="s">
        <v>43</v>
      </c>
      <c r="J58" s="71">
        <v>3265</v>
      </c>
      <c r="K58" s="72">
        <v>3110</v>
      </c>
      <c r="L58" s="72">
        <v>3160</v>
      </c>
      <c r="M58" s="83">
        <v>280</v>
      </c>
      <c r="N58" s="83">
        <v>280</v>
      </c>
      <c r="O58" s="49">
        <f t="shared" si="9"/>
        <v>7</v>
      </c>
      <c r="Q58" s="49">
        <f t="shared" si="10"/>
        <v>52</v>
      </c>
      <c r="R58" s="52" t="str">
        <f t="shared" si="11"/>
        <v>Gleditsia triacanthos 'Skyline'</v>
      </c>
      <c r="S58" s="51">
        <f t="shared" si="12"/>
        <v>239.72029233382096</v>
      </c>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row>
    <row r="59" spans="1:1014">
      <c r="A59" s="49">
        <v>53</v>
      </c>
      <c r="B59" s="65" t="s">
        <v>139</v>
      </c>
      <c r="C59" s="65" t="s">
        <v>140</v>
      </c>
      <c r="D59" s="66">
        <f t="shared" si="8"/>
        <v>3148.038</v>
      </c>
      <c r="E59" s="81">
        <f t="shared" si="5"/>
        <v>2878.652</v>
      </c>
      <c r="F59" s="81">
        <f t="shared" si="13"/>
        <v>2878.652</v>
      </c>
      <c r="G59" s="71">
        <v>3300</v>
      </c>
      <c r="H59" s="71">
        <v>3470</v>
      </c>
      <c r="I59" s="71">
        <v>3280</v>
      </c>
      <c r="J59" s="71">
        <v>3402</v>
      </c>
      <c r="K59" s="72">
        <v>2970</v>
      </c>
      <c r="L59" s="72">
        <v>3005</v>
      </c>
      <c r="M59" s="83">
        <v>280</v>
      </c>
      <c r="N59" s="83">
        <v>280</v>
      </c>
      <c r="O59" s="49">
        <f t="shared" si="9"/>
        <v>8</v>
      </c>
      <c r="Q59" s="49">
        <f t="shared" si="10"/>
        <v>53</v>
      </c>
      <c r="R59" s="52" t="str">
        <f t="shared" si="11"/>
        <v>Juglans regia</v>
      </c>
      <c r="S59" s="51">
        <f t="shared" si="12"/>
        <v>234.07936222536105</v>
      </c>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row>
    <row r="60" spans="1:1014">
      <c r="A60" s="49">
        <v>54</v>
      </c>
      <c r="B60" s="65" t="s">
        <v>141</v>
      </c>
      <c r="C60" s="65" t="s">
        <v>142</v>
      </c>
      <c r="D60" s="66">
        <f t="shared" si="8"/>
        <v>2866.9005714285713</v>
      </c>
      <c r="E60" s="81">
        <f t="shared" si="5"/>
        <v>2878.652</v>
      </c>
      <c r="F60" s="81">
        <f t="shared" si="13"/>
        <v>2878.652</v>
      </c>
      <c r="G60" s="71">
        <v>2900</v>
      </c>
      <c r="H60" s="71">
        <v>2830</v>
      </c>
      <c r="I60" s="71">
        <v>2810</v>
      </c>
      <c r="J60" s="73" t="s">
        <v>43</v>
      </c>
      <c r="K60" s="72">
        <v>3300</v>
      </c>
      <c r="L60" s="72">
        <v>2471</v>
      </c>
      <c r="M60" s="83">
        <v>280</v>
      </c>
      <c r="N60" s="83">
        <v>280</v>
      </c>
      <c r="O60" s="49">
        <f t="shared" si="9"/>
        <v>7</v>
      </c>
      <c r="Q60" s="49">
        <f t="shared" si="10"/>
        <v>54</v>
      </c>
      <c r="R60" s="52" t="str">
        <f t="shared" si="11"/>
        <v>Liriodendron tulipifera</v>
      </c>
      <c r="S60" s="51">
        <f t="shared" si="12"/>
        <v>213.17476387626934</v>
      </c>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row>
    <row r="61" spans="1:1014">
      <c r="A61" s="49">
        <v>55</v>
      </c>
      <c r="B61" s="65" t="s">
        <v>143</v>
      </c>
      <c r="C61" s="65" t="s">
        <v>144</v>
      </c>
      <c r="D61" s="66">
        <f t="shared" si="8"/>
        <v>3580.2037500000001</v>
      </c>
      <c r="E61" s="81">
        <f t="shared" si="5"/>
        <v>3598.3150000000005</v>
      </c>
      <c r="F61" s="81">
        <f t="shared" si="13"/>
        <v>3598.3150000000005</v>
      </c>
      <c r="G61" s="71">
        <v>3600</v>
      </c>
      <c r="H61" s="71">
        <v>3635</v>
      </c>
      <c r="I61" s="71">
        <v>3660</v>
      </c>
      <c r="J61" s="71">
        <v>3620</v>
      </c>
      <c r="K61" s="72">
        <v>3610</v>
      </c>
      <c r="L61" s="72">
        <v>3320</v>
      </c>
      <c r="M61" s="83">
        <v>350</v>
      </c>
      <c r="N61" s="83">
        <v>350</v>
      </c>
      <c r="O61" s="49">
        <f t="shared" si="9"/>
        <v>8</v>
      </c>
      <c r="Q61" s="49">
        <f t="shared" si="10"/>
        <v>55</v>
      </c>
      <c r="R61" s="52" t="str">
        <f t="shared" si="11"/>
        <v>Laburnum x Watereri 'Vossii'</v>
      </c>
      <c r="S61" s="51">
        <f t="shared" si="12"/>
        <v>266.21400708531667</v>
      </c>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row>
    <row r="62" spans="1:1014">
      <c r="A62" s="49">
        <v>56</v>
      </c>
      <c r="B62" s="65" t="s">
        <v>145</v>
      </c>
      <c r="C62" s="65" t="s">
        <v>146</v>
      </c>
      <c r="D62" s="66">
        <f t="shared" si="8"/>
        <v>3815.9537500000001</v>
      </c>
      <c r="E62" s="81">
        <f t="shared" si="5"/>
        <v>3598.3150000000005</v>
      </c>
      <c r="F62" s="81">
        <f t="shared" si="13"/>
        <v>3598.3150000000005</v>
      </c>
      <c r="G62" s="71">
        <v>4200</v>
      </c>
      <c r="H62" s="71">
        <v>3905</v>
      </c>
      <c r="I62" s="71">
        <v>3870</v>
      </c>
      <c r="J62" s="71">
        <v>4031</v>
      </c>
      <c r="K62" s="72">
        <v>3680</v>
      </c>
      <c r="L62" s="72">
        <v>3645</v>
      </c>
      <c r="M62" s="83">
        <v>350</v>
      </c>
      <c r="N62" s="83">
        <v>350</v>
      </c>
      <c r="O62" s="49">
        <f t="shared" si="9"/>
        <v>8</v>
      </c>
      <c r="Q62" s="49">
        <f t="shared" si="10"/>
        <v>56</v>
      </c>
      <c r="R62" s="52" t="str">
        <f t="shared" si="11"/>
        <v>Magnolia kobus</v>
      </c>
      <c r="S62" s="51">
        <f t="shared" si="12"/>
        <v>283.74372230623482</v>
      </c>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row>
    <row r="63" spans="1:1014">
      <c r="A63" s="49">
        <v>57</v>
      </c>
      <c r="B63" s="65" t="s">
        <v>147</v>
      </c>
      <c r="C63" s="65" t="s">
        <v>148</v>
      </c>
      <c r="D63" s="66">
        <f t="shared" si="8"/>
        <v>5525.9837500000012</v>
      </c>
      <c r="E63" s="81">
        <f t="shared" si="5"/>
        <v>5397.4725000000008</v>
      </c>
      <c r="F63" s="81">
        <f t="shared" si="13"/>
        <v>5654.4950000000008</v>
      </c>
      <c r="G63" s="72" t="s">
        <v>84</v>
      </c>
      <c r="H63" s="72" t="s">
        <v>84</v>
      </c>
      <c r="I63" s="72" t="s">
        <v>84</v>
      </c>
      <c r="J63" s="72" t="s">
        <v>84</v>
      </c>
      <c r="K63" s="72" t="s">
        <v>84</v>
      </c>
      <c r="L63" s="72" t="s">
        <v>84</v>
      </c>
      <c r="M63" s="83">
        <v>525</v>
      </c>
      <c r="N63" s="83">
        <v>550</v>
      </c>
      <c r="O63" s="49">
        <f t="shared" si="9"/>
        <v>2</v>
      </c>
      <c r="Q63" s="49">
        <f t="shared" si="10"/>
        <v>57</v>
      </c>
      <c r="R63" s="52" t="str">
        <f t="shared" si="11"/>
        <v>Magnolia soulangeana</v>
      </c>
      <c r="S63" s="51">
        <f t="shared" si="12"/>
        <v>410.89680361790721</v>
      </c>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row>
    <row r="64" spans="1:1014">
      <c r="A64" s="49">
        <v>58</v>
      </c>
      <c r="B64" s="65" t="s">
        <v>149</v>
      </c>
      <c r="C64" s="65" t="s">
        <v>150</v>
      </c>
      <c r="D64" s="66">
        <f t="shared" si="8"/>
        <v>3445.8464999999997</v>
      </c>
      <c r="E64" s="81">
        <f t="shared" si="5"/>
        <v>3187.0790000000002</v>
      </c>
      <c r="F64" s="81"/>
      <c r="G64" s="71">
        <v>3500</v>
      </c>
      <c r="H64" s="71">
        <v>3615</v>
      </c>
      <c r="I64" s="71">
        <v>3470</v>
      </c>
      <c r="J64" s="71">
        <v>3483</v>
      </c>
      <c r="K64" s="72">
        <v>3420</v>
      </c>
      <c r="L64" s="72" t="s">
        <v>43</v>
      </c>
      <c r="M64" s="83">
        <v>310</v>
      </c>
      <c r="N64" s="85" t="s">
        <v>84</v>
      </c>
      <c r="O64" s="49">
        <f t="shared" si="9"/>
        <v>6</v>
      </c>
      <c r="Q64" s="49">
        <f t="shared" si="10"/>
        <v>58</v>
      </c>
      <c r="R64" s="52" t="str">
        <f t="shared" si="11"/>
        <v>Malus floribunda</v>
      </c>
      <c r="S64" s="51">
        <f t="shared" si="12"/>
        <v>256.2235751431503</v>
      </c>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row>
    <row r="65" spans="1:1014">
      <c r="A65" s="49">
        <v>59</v>
      </c>
      <c r="B65" s="65" t="s">
        <v>151</v>
      </c>
      <c r="C65" s="65" t="s">
        <v>152</v>
      </c>
      <c r="D65" s="66">
        <f t="shared" si="8"/>
        <v>3411.4157999999998</v>
      </c>
      <c r="E65" s="81">
        <f t="shared" si="5"/>
        <v>3187.0790000000002</v>
      </c>
      <c r="F65" s="81"/>
      <c r="G65" s="71">
        <v>3500</v>
      </c>
      <c r="H65" s="71">
        <v>3480</v>
      </c>
      <c r="I65" s="71">
        <v>3470</v>
      </c>
      <c r="J65" s="72" t="s">
        <v>43</v>
      </c>
      <c r="K65" s="72">
        <v>3420</v>
      </c>
      <c r="L65" s="72" t="s">
        <v>43</v>
      </c>
      <c r="M65" s="83">
        <v>310</v>
      </c>
      <c r="N65" s="84" t="s">
        <v>43</v>
      </c>
      <c r="O65" s="49">
        <f t="shared" si="9"/>
        <v>5</v>
      </c>
      <c r="Q65" s="49">
        <f t="shared" si="10"/>
        <v>59</v>
      </c>
      <c r="R65" s="52" t="str">
        <f t="shared" si="11"/>
        <v>Malus baccata</v>
      </c>
      <c r="S65" s="51">
        <f t="shared" si="12"/>
        <v>253.66340392000345</v>
      </c>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row>
    <row r="66" spans="1:1014">
      <c r="A66" s="49">
        <v>60</v>
      </c>
      <c r="B66" s="65" t="s">
        <v>153</v>
      </c>
      <c r="C66" s="65" t="s">
        <v>154</v>
      </c>
      <c r="D66" s="66">
        <f t="shared" si="8"/>
        <v>3308.5208333333335</v>
      </c>
      <c r="E66" s="81">
        <f t="shared" si="5"/>
        <v>3187.0790000000002</v>
      </c>
      <c r="F66" s="81">
        <f t="shared" ref="F66:F72" si="14">N66*$C$2</f>
        <v>3238.4835000000003</v>
      </c>
      <c r="G66" s="71">
        <v>3500</v>
      </c>
      <c r="H66" s="72" t="s">
        <v>43</v>
      </c>
      <c r="I66" s="72" t="s">
        <v>43</v>
      </c>
      <c r="J66" s="72" t="s">
        <v>43</v>
      </c>
      <c r="K66" s="72" t="s">
        <v>43</v>
      </c>
      <c r="L66" s="72" t="s">
        <v>43</v>
      </c>
      <c r="M66" s="83">
        <v>310</v>
      </c>
      <c r="N66" s="83">
        <v>315</v>
      </c>
      <c r="O66" s="49">
        <f t="shared" si="9"/>
        <v>3</v>
      </c>
      <c r="Q66" s="49">
        <f t="shared" si="10"/>
        <v>60</v>
      </c>
      <c r="R66" s="52" t="str">
        <f t="shared" si="11"/>
        <v>Malus 'Butterball'</v>
      </c>
      <c r="S66" s="51">
        <f t="shared" si="12"/>
        <v>246.01241998221965</v>
      </c>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row>
    <row r="67" spans="1:1014">
      <c r="A67" s="49">
        <v>61</v>
      </c>
      <c r="B67" s="65" t="s">
        <v>155</v>
      </c>
      <c r="C67" s="65" t="s">
        <v>156</v>
      </c>
      <c r="D67" s="66">
        <f t="shared" si="8"/>
        <v>3880.3680625000002</v>
      </c>
      <c r="E67" s="81">
        <f t="shared" si="5"/>
        <v>2981.4610000000002</v>
      </c>
      <c r="F67" s="81">
        <f t="shared" si="14"/>
        <v>3238.4835000000003</v>
      </c>
      <c r="G67" s="71">
        <v>3900</v>
      </c>
      <c r="H67" s="71">
        <v>4360</v>
      </c>
      <c r="I67" s="71">
        <v>4310</v>
      </c>
      <c r="J67" s="71">
        <v>3903</v>
      </c>
      <c r="K67" s="72">
        <v>4100</v>
      </c>
      <c r="L67" s="72">
        <v>4250</v>
      </c>
      <c r="M67" s="83">
        <v>290</v>
      </c>
      <c r="N67" s="83">
        <v>315</v>
      </c>
      <c r="O67" s="49">
        <f t="shared" si="9"/>
        <v>8</v>
      </c>
      <c r="Q67" s="49">
        <f t="shared" si="10"/>
        <v>61</v>
      </c>
      <c r="R67" s="52" t="str">
        <f t="shared" si="11"/>
        <v>Malus domestica</v>
      </c>
      <c r="S67" s="51">
        <f t="shared" si="12"/>
        <v>288.53339167750198</v>
      </c>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row>
    <row r="68" spans="1:1014">
      <c r="A68" s="49">
        <v>62</v>
      </c>
      <c r="B68" s="67" t="s">
        <v>157</v>
      </c>
      <c r="C68" s="67" t="s">
        <v>158</v>
      </c>
      <c r="D68" s="66">
        <f t="shared" si="8"/>
        <v>2287.5002500000001</v>
      </c>
      <c r="E68" s="81">
        <f t="shared" si="5"/>
        <v>2261.7980000000002</v>
      </c>
      <c r="F68" s="81">
        <f t="shared" si="14"/>
        <v>2313.2025000000003</v>
      </c>
      <c r="G68" s="74" t="s">
        <v>159</v>
      </c>
      <c r="H68" s="75" t="s">
        <v>160</v>
      </c>
      <c r="I68" s="75" t="s">
        <v>159</v>
      </c>
      <c r="J68" s="74" t="s">
        <v>43</v>
      </c>
      <c r="K68" s="76" t="s">
        <v>43</v>
      </c>
      <c r="L68" s="76" t="s">
        <v>43</v>
      </c>
      <c r="M68" s="86">
        <v>220</v>
      </c>
      <c r="N68" s="88">
        <v>225</v>
      </c>
      <c r="O68" s="49">
        <f t="shared" si="9"/>
        <v>2</v>
      </c>
      <c r="Q68" s="49">
        <f t="shared" si="10"/>
        <v>62</v>
      </c>
      <c r="R68" s="52" t="str">
        <f t="shared" si="11"/>
        <v>Metasequoia glyptostroboides</v>
      </c>
      <c r="S68" s="51">
        <f t="shared" si="12"/>
        <v>170.0921652185755</v>
      </c>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row>
    <row r="69" spans="1:1014">
      <c r="A69" s="49">
        <v>63</v>
      </c>
      <c r="B69" s="63" t="s">
        <v>161</v>
      </c>
      <c r="C69" s="65" t="s">
        <v>162</v>
      </c>
      <c r="D69" s="66">
        <f t="shared" si="8"/>
        <v>4005.8429000000006</v>
      </c>
      <c r="E69" s="81">
        <f t="shared" si="5"/>
        <v>4626.4050000000007</v>
      </c>
      <c r="F69" s="81">
        <f t="shared" si="14"/>
        <v>4677.8095000000003</v>
      </c>
      <c r="G69" s="71">
        <v>4700</v>
      </c>
      <c r="H69" s="71">
        <v>2990</v>
      </c>
      <c r="I69" s="72" t="s">
        <v>84</v>
      </c>
      <c r="J69" s="73" t="s">
        <v>163</v>
      </c>
      <c r="K69" s="72" t="s">
        <v>43</v>
      </c>
      <c r="L69" s="72">
        <v>3035</v>
      </c>
      <c r="M69" s="83">
        <v>450</v>
      </c>
      <c r="N69" s="83">
        <v>455</v>
      </c>
      <c r="O69" s="49">
        <f t="shared" si="9"/>
        <v>5</v>
      </c>
      <c r="Q69" s="49">
        <f t="shared" si="10"/>
        <v>63</v>
      </c>
      <c r="R69" s="52" t="str">
        <f t="shared" si="11"/>
        <v>Picea abies</v>
      </c>
      <c r="S69" s="51">
        <f t="shared" si="12"/>
        <v>297.86335209644579</v>
      </c>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row>
    <row r="70" spans="1:1014">
      <c r="A70" s="49">
        <v>64</v>
      </c>
      <c r="B70" s="63" t="s">
        <v>164</v>
      </c>
      <c r="C70" s="65" t="s">
        <v>165</v>
      </c>
      <c r="D70" s="66">
        <f t="shared" si="8"/>
        <v>4740.3513750000002</v>
      </c>
      <c r="E70" s="81">
        <f t="shared" si="5"/>
        <v>4523.5960000000005</v>
      </c>
      <c r="F70" s="81">
        <f t="shared" si="14"/>
        <v>4677.8095000000003</v>
      </c>
      <c r="G70" s="71">
        <v>4700</v>
      </c>
      <c r="H70" s="71">
        <v>5060</v>
      </c>
      <c r="I70" s="72" t="s">
        <v>84</v>
      </c>
      <c r="J70" s="73" t="s">
        <v>43</v>
      </c>
      <c r="K70" s="72" t="s">
        <v>43</v>
      </c>
      <c r="L70" s="72" t="s">
        <v>43</v>
      </c>
      <c r="M70" s="83">
        <v>440</v>
      </c>
      <c r="N70" s="83">
        <v>455</v>
      </c>
      <c r="O70" s="49">
        <f t="shared" si="9"/>
        <v>4</v>
      </c>
      <c r="Q70" s="49">
        <f t="shared" si="10"/>
        <v>64</v>
      </c>
      <c r="R70" s="52" t="str">
        <f t="shared" si="11"/>
        <v>Picea omorika</v>
      </c>
      <c r="S70" s="51">
        <f t="shared" si="12"/>
        <v>352.47936225169883</v>
      </c>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row>
    <row r="71" spans="1:1014">
      <c r="A71" s="49">
        <v>65</v>
      </c>
      <c r="B71" s="65" t="s">
        <v>166</v>
      </c>
      <c r="C71" s="65" t="s">
        <v>167</v>
      </c>
      <c r="D71" s="66">
        <f t="shared" ref="D71:D102" si="15">AVERAGE(E71:L71)</f>
        <v>3544.4383333333335</v>
      </c>
      <c r="E71" s="81">
        <f t="shared" si="5"/>
        <v>3598.3150000000005</v>
      </c>
      <c r="F71" s="81">
        <f t="shared" si="14"/>
        <v>3598.3150000000005</v>
      </c>
      <c r="G71" s="71">
        <v>3500</v>
      </c>
      <c r="H71" s="71">
        <v>3730</v>
      </c>
      <c r="I71" s="71">
        <v>3520</v>
      </c>
      <c r="J71" s="73" t="s">
        <v>43</v>
      </c>
      <c r="K71" s="72" t="s">
        <v>43</v>
      </c>
      <c r="L71" s="72">
        <v>3320</v>
      </c>
      <c r="M71" s="83">
        <v>350</v>
      </c>
      <c r="N71" s="83">
        <v>350</v>
      </c>
      <c r="O71" s="49">
        <f t="shared" ref="O71:O102" si="16">COUNT(E71:L71)</f>
        <v>6</v>
      </c>
      <c r="Q71" s="49">
        <f t="shared" ref="Q71:Q83" si="17">A71</f>
        <v>65</v>
      </c>
      <c r="R71" s="52" t="str">
        <f t="shared" ref="R71:R83" si="18">B71</f>
        <v>Phellodendron amurense</v>
      </c>
      <c r="S71" s="51">
        <f t="shared" ref="S71:S83" si="19">D71/$C$3</f>
        <v>263.55459003791833</v>
      </c>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row>
    <row r="72" spans="1:1014">
      <c r="A72" s="49">
        <v>66</v>
      </c>
      <c r="B72" s="63" t="s">
        <v>168</v>
      </c>
      <c r="C72" s="65" t="s">
        <v>169</v>
      </c>
      <c r="D72" s="66">
        <f t="shared" si="15"/>
        <v>3134.7125000000001</v>
      </c>
      <c r="E72" s="81">
        <f t="shared" ref="E72:E123" si="20">M72*$C$2</f>
        <v>3187.0790000000002</v>
      </c>
      <c r="F72" s="81">
        <f t="shared" si="14"/>
        <v>3238.4835000000003</v>
      </c>
      <c r="G72" s="71">
        <v>2900</v>
      </c>
      <c r="H72" s="71">
        <v>3095</v>
      </c>
      <c r="I72" s="71" t="s">
        <v>159</v>
      </c>
      <c r="J72" s="71">
        <v>3253</v>
      </c>
      <c r="K72" s="72" t="s">
        <v>43</v>
      </c>
      <c r="L72" s="72" t="s">
        <v>43</v>
      </c>
      <c r="M72" s="83">
        <v>310</v>
      </c>
      <c r="N72" s="83">
        <v>315</v>
      </c>
      <c r="O72" s="49">
        <f t="shared" si="16"/>
        <v>5</v>
      </c>
      <c r="Q72" s="49">
        <f t="shared" si="17"/>
        <v>66</v>
      </c>
      <c r="R72" s="52" t="str">
        <f t="shared" si="18"/>
        <v>Pinus sylvestris</v>
      </c>
      <c r="S72" s="51">
        <f t="shared" si="19"/>
        <v>233.08851505600222</v>
      </c>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row>
    <row r="73" spans="1:1014">
      <c r="A73" s="49">
        <v>67</v>
      </c>
      <c r="B73" s="65" t="s">
        <v>170</v>
      </c>
      <c r="C73" s="65"/>
      <c r="D73" s="66">
        <f t="shared" si="15"/>
        <v>2835</v>
      </c>
      <c r="E73" s="81"/>
      <c r="F73" s="81"/>
      <c r="G73" s="71">
        <v>3200</v>
      </c>
      <c r="H73" s="72" t="s">
        <v>43</v>
      </c>
      <c r="I73" s="72" t="s">
        <v>43</v>
      </c>
      <c r="J73" s="72" t="s">
        <v>43</v>
      </c>
      <c r="K73" s="72" t="s">
        <v>43</v>
      </c>
      <c r="L73" s="72">
        <v>2470</v>
      </c>
      <c r="M73" s="84" t="s">
        <v>43</v>
      </c>
      <c r="N73" s="84" t="s">
        <v>43</v>
      </c>
      <c r="O73" s="49">
        <f t="shared" si="16"/>
        <v>2</v>
      </c>
      <c r="Q73" s="49">
        <f t="shared" si="17"/>
        <v>67</v>
      </c>
      <c r="R73" s="52" t="str">
        <f t="shared" si="18"/>
        <v>Pinus sylvestris FK Skogskyrkogården E</v>
      </c>
      <c r="S73" s="51">
        <f t="shared" si="19"/>
        <v>210.80272598643936</v>
      </c>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row>
    <row r="74" spans="1:1014">
      <c r="A74" s="49">
        <v>68</v>
      </c>
      <c r="B74" s="65" t="s">
        <v>171</v>
      </c>
      <c r="C74" s="65" t="s">
        <v>172</v>
      </c>
      <c r="D74" s="66">
        <f t="shared" si="15"/>
        <v>2570.2250000000004</v>
      </c>
      <c r="E74" s="81">
        <f t="shared" si="20"/>
        <v>2570.2250000000004</v>
      </c>
      <c r="F74" s="81">
        <f t="shared" ref="F74:F84" si="21">N74*$C$2</f>
        <v>2570.2250000000004</v>
      </c>
      <c r="G74" s="72" t="s">
        <v>43</v>
      </c>
      <c r="H74" s="72" t="s">
        <v>43</v>
      </c>
      <c r="I74" s="72" t="s">
        <v>43</v>
      </c>
      <c r="J74" s="72" t="s">
        <v>43</v>
      </c>
      <c r="K74" s="72" t="s">
        <v>43</v>
      </c>
      <c r="L74" s="72" t="s">
        <v>43</v>
      </c>
      <c r="M74" s="83">
        <v>250</v>
      </c>
      <c r="N74" s="83">
        <v>250</v>
      </c>
      <c r="O74" s="49">
        <f t="shared" si="16"/>
        <v>2</v>
      </c>
      <c r="Q74" s="49">
        <f t="shared" si="17"/>
        <v>68</v>
      </c>
      <c r="R74" s="52" t="str">
        <f t="shared" si="18"/>
        <v>Platanus orientalis</v>
      </c>
      <c r="S74" s="51">
        <f t="shared" si="19"/>
        <v>191.11479238042193</v>
      </c>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row>
    <row r="75" spans="1:1014">
      <c r="A75" s="49">
        <v>69</v>
      </c>
      <c r="B75" s="65" t="s">
        <v>173</v>
      </c>
      <c r="C75" s="65" t="s">
        <v>174</v>
      </c>
      <c r="D75" s="66">
        <f t="shared" si="15"/>
        <v>2209.2857857142858</v>
      </c>
      <c r="E75" s="81">
        <f t="shared" si="20"/>
        <v>2261.7980000000002</v>
      </c>
      <c r="F75" s="81">
        <f t="shared" si="21"/>
        <v>2313.2025000000003</v>
      </c>
      <c r="G75" s="71">
        <v>2500</v>
      </c>
      <c r="H75" s="71">
        <v>2190</v>
      </c>
      <c r="I75" s="71">
        <v>2190</v>
      </c>
      <c r="J75" s="72" t="s">
        <v>43</v>
      </c>
      <c r="K75" s="72">
        <v>2080</v>
      </c>
      <c r="L75" s="72">
        <v>1930</v>
      </c>
      <c r="M75" s="83">
        <v>220</v>
      </c>
      <c r="N75" s="83">
        <v>225</v>
      </c>
      <c r="O75" s="49">
        <f t="shared" si="16"/>
        <v>7</v>
      </c>
      <c r="Q75" s="49">
        <f t="shared" si="17"/>
        <v>69</v>
      </c>
      <c r="R75" s="52" t="str">
        <f t="shared" si="18"/>
        <v>Platanus x acerifolia (syn. Platanus hispanica)</v>
      </c>
      <c r="S75" s="51">
        <f t="shared" si="19"/>
        <v>164.27635488947584</v>
      </c>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row>
    <row r="76" spans="1:1014">
      <c r="A76" s="49">
        <v>70</v>
      </c>
      <c r="B76" s="65" t="s">
        <v>175</v>
      </c>
      <c r="C76" s="65" t="s">
        <v>176</v>
      </c>
      <c r="D76" s="66">
        <f t="shared" si="15"/>
        <v>1887.8572142857142</v>
      </c>
      <c r="E76" s="81">
        <f t="shared" si="20"/>
        <v>2261.7980000000002</v>
      </c>
      <c r="F76" s="81">
        <f t="shared" si="21"/>
        <v>2313.2025000000003</v>
      </c>
      <c r="G76" s="71">
        <v>2000</v>
      </c>
      <c r="H76" s="71">
        <v>1710</v>
      </c>
      <c r="I76" s="71">
        <v>1810</v>
      </c>
      <c r="J76" s="72" t="s">
        <v>43</v>
      </c>
      <c r="K76" s="72">
        <v>1620</v>
      </c>
      <c r="L76" s="72">
        <v>1500</v>
      </c>
      <c r="M76" s="83">
        <v>220</v>
      </c>
      <c r="N76" s="83">
        <v>225</v>
      </c>
      <c r="O76" s="49">
        <f t="shared" si="16"/>
        <v>7</v>
      </c>
      <c r="Q76" s="49">
        <f t="shared" si="17"/>
        <v>70</v>
      </c>
      <c r="R76" s="52" t="str">
        <f t="shared" si="18"/>
        <v>Populus alba 'Nivea'</v>
      </c>
      <c r="S76" s="51">
        <f t="shared" si="19"/>
        <v>140.3758190633489</v>
      </c>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row>
    <row r="77" spans="1:1014">
      <c r="A77" s="49">
        <v>71</v>
      </c>
      <c r="B77" s="65" t="s">
        <v>177</v>
      </c>
      <c r="C77" s="65" t="s">
        <v>178</v>
      </c>
      <c r="D77" s="66">
        <f t="shared" si="15"/>
        <v>1878.7500625</v>
      </c>
      <c r="E77" s="81">
        <f t="shared" si="20"/>
        <v>2261.7980000000002</v>
      </c>
      <c r="F77" s="81">
        <f t="shared" si="21"/>
        <v>2313.2025000000003</v>
      </c>
      <c r="G77" s="71">
        <v>2000</v>
      </c>
      <c r="H77" s="71">
        <v>1630</v>
      </c>
      <c r="I77" s="71">
        <v>1820</v>
      </c>
      <c r="J77" s="71">
        <v>1885</v>
      </c>
      <c r="K77" s="72">
        <v>1620</v>
      </c>
      <c r="L77" s="72">
        <v>1500</v>
      </c>
      <c r="M77" s="83">
        <v>220</v>
      </c>
      <c r="N77" s="83">
        <v>225</v>
      </c>
      <c r="O77" s="49">
        <f t="shared" si="16"/>
        <v>8</v>
      </c>
      <c r="Q77" s="49">
        <f t="shared" si="17"/>
        <v>71</v>
      </c>
      <c r="R77" s="52" t="str">
        <f t="shared" si="18"/>
        <v>Populus balsamifera</v>
      </c>
      <c r="S77" s="51">
        <f t="shared" si="19"/>
        <v>139.69863655103822</v>
      </c>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row>
    <row r="78" spans="1:1014">
      <c r="A78" s="49">
        <v>72</v>
      </c>
      <c r="B78" s="65" t="s">
        <v>179</v>
      </c>
      <c r="C78" s="65" t="s">
        <v>180</v>
      </c>
      <c r="D78" s="66">
        <f t="shared" si="15"/>
        <v>2570.2250000000004</v>
      </c>
      <c r="E78" s="81">
        <f t="shared" si="20"/>
        <v>2570.2250000000004</v>
      </c>
      <c r="F78" s="81">
        <f t="shared" si="21"/>
        <v>2570.2250000000004</v>
      </c>
      <c r="G78" s="72" t="s">
        <v>43</v>
      </c>
      <c r="H78" s="72" t="s">
        <v>43</v>
      </c>
      <c r="I78" s="72" t="s">
        <v>43</v>
      </c>
      <c r="J78" s="72" t="s">
        <v>43</v>
      </c>
      <c r="K78" s="72" t="s">
        <v>43</v>
      </c>
      <c r="L78" s="72" t="s">
        <v>43</v>
      </c>
      <c r="M78" s="83">
        <v>250</v>
      </c>
      <c r="N78" s="83">
        <v>250</v>
      </c>
      <c r="O78" s="49">
        <f t="shared" si="16"/>
        <v>2</v>
      </c>
      <c r="Q78" s="49">
        <f t="shared" si="17"/>
        <v>72</v>
      </c>
      <c r="R78" s="52" t="str">
        <f t="shared" si="18"/>
        <v>Populus nigra</v>
      </c>
      <c r="S78" s="51">
        <f t="shared" si="19"/>
        <v>191.11479238042193</v>
      </c>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row>
    <row r="79" spans="1:1014">
      <c r="A79" s="49">
        <v>73</v>
      </c>
      <c r="B79" s="65" t="s">
        <v>181</v>
      </c>
      <c r="C79" s="65" t="s">
        <v>182</v>
      </c>
      <c r="D79" s="66">
        <f t="shared" si="15"/>
        <v>2063.0001000000002</v>
      </c>
      <c r="E79" s="81">
        <f t="shared" si="20"/>
        <v>2261.7980000000002</v>
      </c>
      <c r="F79" s="81">
        <f t="shared" si="21"/>
        <v>2313.2025000000003</v>
      </c>
      <c r="G79" s="71">
        <v>2000</v>
      </c>
      <c r="H79" s="71">
        <v>1915</v>
      </c>
      <c r="I79" s="72" t="s">
        <v>43</v>
      </c>
      <c r="J79" s="72" t="s">
        <v>43</v>
      </c>
      <c r="K79" s="72" t="s">
        <v>43</v>
      </c>
      <c r="L79" s="72">
        <v>1825</v>
      </c>
      <c r="M79" s="83">
        <v>220</v>
      </c>
      <c r="N79" s="83">
        <v>225</v>
      </c>
      <c r="O79" s="49">
        <f t="shared" si="16"/>
        <v>5</v>
      </c>
      <c r="Q79" s="49">
        <f t="shared" si="17"/>
        <v>73</v>
      </c>
      <c r="R79" s="52" t="str">
        <f t="shared" si="18"/>
        <v>Populus simonii</v>
      </c>
      <c r="S79" s="51">
        <f t="shared" si="19"/>
        <v>153.39895759798839</v>
      </c>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row>
    <row r="80" spans="1:1014">
      <c r="A80" s="49">
        <v>74</v>
      </c>
      <c r="B80" s="65" t="s">
        <v>183</v>
      </c>
      <c r="C80" s="65" t="s">
        <v>184</v>
      </c>
      <c r="D80" s="66">
        <f t="shared" si="15"/>
        <v>1891.2500625</v>
      </c>
      <c r="E80" s="81">
        <f t="shared" si="20"/>
        <v>2261.7980000000002</v>
      </c>
      <c r="F80" s="81">
        <f t="shared" si="21"/>
        <v>2313.2025000000003</v>
      </c>
      <c r="G80" s="71">
        <v>2000</v>
      </c>
      <c r="H80" s="71">
        <v>1690</v>
      </c>
      <c r="I80" s="71">
        <v>1860</v>
      </c>
      <c r="J80" s="71">
        <v>1885</v>
      </c>
      <c r="K80" s="72">
        <v>1620</v>
      </c>
      <c r="L80" s="72">
        <v>1500</v>
      </c>
      <c r="M80" s="83">
        <v>220</v>
      </c>
      <c r="N80" s="83">
        <v>225</v>
      </c>
      <c r="O80" s="49">
        <f t="shared" si="16"/>
        <v>8</v>
      </c>
      <c r="Q80" s="49">
        <f t="shared" si="17"/>
        <v>74</v>
      </c>
      <c r="R80" s="52" t="str">
        <f t="shared" si="18"/>
        <v>Populus tremula</v>
      </c>
      <c r="S80" s="51">
        <f t="shared" si="19"/>
        <v>140.62810183316537</v>
      </c>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row>
    <row r="81" spans="1:1014">
      <c r="A81" s="49">
        <v>75</v>
      </c>
      <c r="B81" s="65" t="s">
        <v>185</v>
      </c>
      <c r="C81" s="65" t="s">
        <v>186</v>
      </c>
      <c r="D81" s="66">
        <f t="shared" si="15"/>
        <v>1877.8572142857142</v>
      </c>
      <c r="E81" s="81">
        <f t="shared" si="20"/>
        <v>2261.7980000000002</v>
      </c>
      <c r="F81" s="81">
        <f t="shared" si="21"/>
        <v>2313.2025000000003</v>
      </c>
      <c r="G81" s="71">
        <v>2000</v>
      </c>
      <c r="H81" s="71">
        <v>1630</v>
      </c>
      <c r="I81" s="71">
        <v>1820</v>
      </c>
      <c r="J81" s="73" t="s">
        <v>43</v>
      </c>
      <c r="K81" s="72">
        <v>1620</v>
      </c>
      <c r="L81" s="72">
        <v>1500</v>
      </c>
      <c r="M81" s="83">
        <v>220</v>
      </c>
      <c r="N81" s="83">
        <v>225</v>
      </c>
      <c r="O81" s="49">
        <f t="shared" si="16"/>
        <v>7</v>
      </c>
      <c r="Q81" s="49">
        <f t="shared" si="17"/>
        <v>75</v>
      </c>
      <c r="R81" s="52" t="str">
        <f t="shared" si="18"/>
        <v>Populus x canadensis 'Robusta'</v>
      </c>
      <c r="S81" s="51">
        <f t="shared" si="19"/>
        <v>139.63224683764719</v>
      </c>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row>
    <row r="82" spans="1:1014">
      <c r="A82" s="49">
        <v>76</v>
      </c>
      <c r="B82" s="65" t="s">
        <v>187</v>
      </c>
      <c r="C82" s="65" t="s">
        <v>188</v>
      </c>
      <c r="D82" s="66">
        <f t="shared" si="15"/>
        <v>3041.9312500000001</v>
      </c>
      <c r="E82" s="81">
        <f t="shared" si="20"/>
        <v>2570.2250000000004</v>
      </c>
      <c r="F82" s="81">
        <f t="shared" si="21"/>
        <v>2570.2250000000004</v>
      </c>
      <c r="G82" s="71">
        <v>3200</v>
      </c>
      <c r="H82" s="71">
        <v>3180</v>
      </c>
      <c r="I82" s="71">
        <v>3170</v>
      </c>
      <c r="J82" s="71">
        <v>3620</v>
      </c>
      <c r="K82" s="72">
        <v>3190</v>
      </c>
      <c r="L82" s="72">
        <v>2835</v>
      </c>
      <c r="M82" s="83">
        <v>250</v>
      </c>
      <c r="N82" s="83">
        <v>250</v>
      </c>
      <c r="O82" s="49">
        <f t="shared" si="16"/>
        <v>8</v>
      </c>
      <c r="Q82" s="49">
        <f t="shared" si="17"/>
        <v>76</v>
      </c>
      <c r="R82" s="52" t="str">
        <f t="shared" si="18"/>
        <v>Prunus 'Accolade'</v>
      </c>
      <c r="S82" s="51">
        <f t="shared" si="19"/>
        <v>226.18955899941341</v>
      </c>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row>
    <row r="83" spans="1:1014">
      <c r="A83" s="49">
        <v>77</v>
      </c>
      <c r="B83" s="65" t="s">
        <v>189</v>
      </c>
      <c r="C83" s="65" t="s">
        <v>190</v>
      </c>
      <c r="D83" s="66">
        <f t="shared" si="15"/>
        <v>2308.4928571428572</v>
      </c>
      <c r="E83" s="81">
        <f t="shared" si="20"/>
        <v>2570.2250000000004</v>
      </c>
      <c r="F83" s="81">
        <f t="shared" si="21"/>
        <v>2570.2250000000004</v>
      </c>
      <c r="G83" s="71">
        <v>2600</v>
      </c>
      <c r="H83" s="71">
        <v>2190</v>
      </c>
      <c r="I83" s="72" t="s">
        <v>43</v>
      </c>
      <c r="J83" s="71">
        <v>2309</v>
      </c>
      <c r="K83" s="72">
        <v>1990</v>
      </c>
      <c r="L83" s="72">
        <v>1930</v>
      </c>
      <c r="M83" s="83">
        <v>250</v>
      </c>
      <c r="N83" s="83">
        <v>250</v>
      </c>
      <c r="O83" s="49">
        <f t="shared" si="16"/>
        <v>7</v>
      </c>
      <c r="Q83" s="49">
        <f t="shared" si="17"/>
        <v>77</v>
      </c>
      <c r="R83" s="52" t="str">
        <f t="shared" si="18"/>
        <v>Prunus maackii</v>
      </c>
      <c r="S83" s="51">
        <f t="shared" si="19"/>
        <v>171.65311718022514</v>
      </c>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row>
    <row r="84" spans="1:1014">
      <c r="A84" s="49">
        <v>78</v>
      </c>
      <c r="B84" s="65" t="s">
        <v>191</v>
      </c>
      <c r="C84" s="65" t="s">
        <v>192</v>
      </c>
      <c r="D84" s="66">
        <f t="shared" si="15"/>
        <v>2048.3335000000002</v>
      </c>
      <c r="E84" s="81">
        <f t="shared" si="20"/>
        <v>2261.7980000000002</v>
      </c>
      <c r="F84" s="81">
        <f t="shared" si="21"/>
        <v>2313.2025000000003</v>
      </c>
      <c r="G84" s="73" t="s">
        <v>43</v>
      </c>
      <c r="H84" s="72" t="s">
        <v>43</v>
      </c>
      <c r="I84" s="72" t="s">
        <v>43</v>
      </c>
      <c r="J84" s="72" t="s">
        <v>43</v>
      </c>
      <c r="K84" s="72">
        <v>1570</v>
      </c>
      <c r="L84" s="72" t="s">
        <v>43</v>
      </c>
      <c r="M84" s="83">
        <v>220</v>
      </c>
      <c r="N84" s="83">
        <v>225</v>
      </c>
      <c r="O84" s="49">
        <f t="shared" si="16"/>
        <v>3</v>
      </c>
      <c r="Q84" s="49">
        <f>A84</f>
        <v>78</v>
      </c>
      <c r="R84" s="52" t="str">
        <f t="shared" ref="R84:R115" si="22">B84</f>
        <v>Prunus avium</v>
      </c>
      <c r="S84" s="51">
        <f t="shared" ref="S84:S115" si="23">D84/$C$3</f>
        <v>152.30838995744068</v>
      </c>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row>
    <row r="85" spans="1:1014">
      <c r="A85" s="49">
        <v>79</v>
      </c>
      <c r="B85" s="65" t="s">
        <v>193</v>
      </c>
      <c r="C85" s="65"/>
      <c r="D85" s="66">
        <f t="shared" si="15"/>
        <v>1708.5</v>
      </c>
      <c r="E85" s="81"/>
      <c r="F85" s="81"/>
      <c r="G85" s="71">
        <v>1950</v>
      </c>
      <c r="H85" s="71">
        <v>1695</v>
      </c>
      <c r="I85" s="71">
        <v>1710</v>
      </c>
      <c r="J85" s="71">
        <v>1776</v>
      </c>
      <c r="K85" s="72">
        <v>1620</v>
      </c>
      <c r="L85" s="72">
        <v>1500</v>
      </c>
      <c r="M85" s="85" t="s">
        <v>43</v>
      </c>
      <c r="N85" s="84" t="s">
        <v>43</v>
      </c>
      <c r="O85" s="49">
        <f t="shared" si="16"/>
        <v>6</v>
      </c>
      <c r="Q85" s="49">
        <f>A85</f>
        <v>79</v>
      </c>
      <c r="R85" s="52" t="str">
        <f t="shared" si="22"/>
        <v xml:space="preserve">Prunus avium FK Svea, Lugnås, Ulltuna E </v>
      </c>
      <c r="S85" s="51">
        <f t="shared" si="23"/>
        <v>127.03931476113992</v>
      </c>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row>
    <row r="86" spans="1:1014">
      <c r="A86" s="49">
        <v>80</v>
      </c>
      <c r="B86" s="65" t="s">
        <v>194</v>
      </c>
      <c r="C86" s="65" t="s">
        <v>195</v>
      </c>
      <c r="D86" s="66">
        <f t="shared" si="15"/>
        <v>2406.9312500000001</v>
      </c>
      <c r="E86" s="81">
        <f t="shared" si="20"/>
        <v>2570.2250000000004</v>
      </c>
      <c r="F86" s="81">
        <f>N86*$C$2</f>
        <v>2570.2250000000004</v>
      </c>
      <c r="G86" s="71">
        <v>2600</v>
      </c>
      <c r="H86" s="71">
        <v>2450</v>
      </c>
      <c r="I86" s="71">
        <v>2430</v>
      </c>
      <c r="J86" s="71">
        <v>2405</v>
      </c>
      <c r="K86" s="72">
        <v>2090</v>
      </c>
      <c r="L86" s="72">
        <v>2140</v>
      </c>
      <c r="M86" s="83">
        <v>250</v>
      </c>
      <c r="N86" s="83">
        <v>250</v>
      </c>
      <c r="O86" s="49">
        <f t="shared" si="16"/>
        <v>8</v>
      </c>
      <c r="Q86" s="49">
        <f>A86</f>
        <v>80</v>
      </c>
      <c r="R86" s="52" t="str">
        <f t="shared" si="22"/>
        <v>Prunus avium 'Plena'</v>
      </c>
      <c r="S86" s="51">
        <f t="shared" si="23"/>
        <v>178.97272266735379</v>
      </c>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row>
    <row r="87" spans="1:1014">
      <c r="A87" s="49">
        <v>81</v>
      </c>
      <c r="B87" s="65" t="s">
        <v>196</v>
      </c>
      <c r="C87" s="65" t="s">
        <v>197</v>
      </c>
      <c r="D87" s="66">
        <f t="shared" si="15"/>
        <v>3880.3680625000002</v>
      </c>
      <c r="E87" s="81">
        <f t="shared" si="20"/>
        <v>2981.4610000000002</v>
      </c>
      <c r="F87" s="81">
        <f>N87*$C$2</f>
        <v>3238.4835000000003</v>
      </c>
      <c r="G87" s="71">
        <v>3900</v>
      </c>
      <c r="H87" s="71">
        <v>4360</v>
      </c>
      <c r="I87" s="71">
        <v>4310</v>
      </c>
      <c r="J87" s="71">
        <v>3903</v>
      </c>
      <c r="K87" s="72">
        <v>4100</v>
      </c>
      <c r="L87" s="72">
        <v>4250</v>
      </c>
      <c r="M87" s="83">
        <v>290</v>
      </c>
      <c r="N87" s="83">
        <v>315</v>
      </c>
      <c r="O87" s="49">
        <f t="shared" si="16"/>
        <v>8</v>
      </c>
      <c r="Q87" s="49">
        <f>A87</f>
        <v>81</v>
      </c>
      <c r="R87" s="52" t="str">
        <f t="shared" si="22"/>
        <v>Prunus domestica</v>
      </c>
      <c r="S87" s="51">
        <f t="shared" si="23"/>
        <v>288.53339167750198</v>
      </c>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row>
    <row r="88" spans="1:1014">
      <c r="A88" s="49">
        <v>82</v>
      </c>
      <c r="B88" s="65" t="s">
        <v>198</v>
      </c>
      <c r="C88" s="65" t="s">
        <v>199</v>
      </c>
      <c r="D88" s="66">
        <f t="shared" si="15"/>
        <v>2048.3335000000002</v>
      </c>
      <c r="E88" s="81">
        <f t="shared" si="20"/>
        <v>2261.7980000000002</v>
      </c>
      <c r="F88" s="81">
        <f>N88*$C$2</f>
        <v>2313.2025000000003</v>
      </c>
      <c r="G88" s="73" t="s">
        <v>43</v>
      </c>
      <c r="H88" s="73" t="s">
        <v>43</v>
      </c>
      <c r="I88" s="72" t="s">
        <v>43</v>
      </c>
      <c r="J88" s="72" t="s">
        <v>43</v>
      </c>
      <c r="K88" s="72">
        <v>1570</v>
      </c>
      <c r="L88" s="72" t="s">
        <v>43</v>
      </c>
      <c r="M88" s="83">
        <v>220</v>
      </c>
      <c r="N88" s="83">
        <v>225</v>
      </c>
      <c r="O88" s="49">
        <f t="shared" si="16"/>
        <v>3</v>
      </c>
      <c r="Q88" s="49">
        <f t="shared" ref="Q88:Q115" si="24">A88</f>
        <v>82</v>
      </c>
      <c r="R88" s="52" t="str">
        <f t="shared" si="22"/>
        <v>Prunus padus</v>
      </c>
      <c r="S88" s="51">
        <f t="shared" si="23"/>
        <v>152.30838995744068</v>
      </c>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row>
    <row r="89" spans="1:1014">
      <c r="A89" s="49">
        <v>83</v>
      </c>
      <c r="B89" s="65" t="s">
        <v>200</v>
      </c>
      <c r="C89" s="65"/>
      <c r="D89" s="66">
        <f t="shared" si="15"/>
        <v>1954</v>
      </c>
      <c r="E89" s="81"/>
      <c r="F89" s="81"/>
      <c r="G89" s="71">
        <v>2300</v>
      </c>
      <c r="H89" s="71">
        <v>1995</v>
      </c>
      <c r="I89" s="71">
        <v>2030</v>
      </c>
      <c r="J89" s="71">
        <v>1804</v>
      </c>
      <c r="K89" s="72">
        <v>1830</v>
      </c>
      <c r="L89" s="72">
        <v>1765</v>
      </c>
      <c r="M89" s="84" t="s">
        <v>67</v>
      </c>
      <c r="N89" s="84" t="s">
        <v>43</v>
      </c>
      <c r="O89" s="49">
        <f t="shared" si="16"/>
        <v>6</v>
      </c>
      <c r="P89" s="2"/>
      <c r="Q89" s="49">
        <f t="shared" si="24"/>
        <v>83</v>
      </c>
      <c r="R89" s="52" t="str">
        <f t="shared" si="22"/>
        <v>Prunus padus FK Ultuna E</v>
      </c>
      <c r="S89" s="51">
        <f t="shared" si="23"/>
        <v>145.29401290211729</v>
      </c>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row>
    <row r="90" spans="1:1014">
      <c r="A90" s="49">
        <v>84</v>
      </c>
      <c r="B90" s="65" t="s">
        <v>201</v>
      </c>
      <c r="C90" s="65" t="s">
        <v>202</v>
      </c>
      <c r="D90" s="66">
        <f t="shared" si="15"/>
        <v>1859.1995000000002</v>
      </c>
      <c r="E90" s="81">
        <f t="shared" si="20"/>
        <v>2261.7980000000002</v>
      </c>
      <c r="F90" s="81"/>
      <c r="G90" s="73" t="s">
        <v>43</v>
      </c>
      <c r="H90" s="71">
        <v>1785</v>
      </c>
      <c r="I90" s="71">
        <v>1770</v>
      </c>
      <c r="J90" s="73" t="s">
        <v>43</v>
      </c>
      <c r="K90" s="72">
        <v>1620</v>
      </c>
      <c r="L90" s="72" t="s">
        <v>43</v>
      </c>
      <c r="M90" s="83">
        <v>220</v>
      </c>
      <c r="N90" s="84" t="s">
        <v>43</v>
      </c>
      <c r="O90" s="49">
        <f t="shared" si="16"/>
        <v>4</v>
      </c>
      <c r="P90" s="2"/>
      <c r="Q90" s="49">
        <f t="shared" si="24"/>
        <v>84</v>
      </c>
      <c r="R90" s="52" t="str">
        <f t="shared" si="22"/>
        <v>Prunus padus 'Watereri'</v>
      </c>
      <c r="S90" s="51">
        <f t="shared" si="23"/>
        <v>138.24491102385366</v>
      </c>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c r="AJW90" s="2"/>
      <c r="AJX90" s="2"/>
      <c r="AJY90" s="2"/>
      <c r="AJZ90" s="2"/>
      <c r="AKA90" s="2"/>
      <c r="AKB90" s="2"/>
      <c r="AKC90" s="2"/>
      <c r="AKD90" s="2"/>
      <c r="AKE90" s="2"/>
      <c r="AKF90" s="2"/>
      <c r="AKG90" s="2"/>
      <c r="AKH90" s="2"/>
      <c r="AKI90" s="2"/>
      <c r="AKJ90" s="2"/>
      <c r="AKK90" s="2"/>
      <c r="AKL90" s="2"/>
      <c r="AKM90" s="2"/>
      <c r="AKN90" s="2"/>
      <c r="AKO90" s="2"/>
      <c r="AKP90" s="2"/>
      <c r="AKQ90" s="2"/>
      <c r="AKR90" s="2"/>
      <c r="AKS90" s="2"/>
      <c r="AKT90" s="2"/>
      <c r="AKU90" s="2"/>
      <c r="AKV90" s="2"/>
      <c r="AKW90" s="2"/>
      <c r="AKX90" s="2"/>
      <c r="AKY90" s="2"/>
      <c r="AKZ90" s="2"/>
      <c r="ALA90" s="2"/>
      <c r="ALB90" s="2"/>
      <c r="ALC90" s="2"/>
      <c r="ALD90" s="2"/>
      <c r="ALE90" s="2"/>
      <c r="ALF90" s="2"/>
      <c r="ALG90" s="2"/>
      <c r="ALH90" s="2"/>
      <c r="ALI90" s="2"/>
      <c r="ALJ90" s="2"/>
      <c r="ALK90" s="2"/>
      <c r="ALL90" s="2"/>
      <c r="ALM90" s="2"/>
      <c r="ALN90" s="2"/>
      <c r="ALO90" s="2"/>
      <c r="ALP90" s="2"/>
      <c r="ALQ90" s="2"/>
      <c r="ALR90" s="2"/>
      <c r="ALS90" s="2"/>
      <c r="ALT90" s="2"/>
      <c r="ALU90" s="2"/>
      <c r="ALV90" s="2"/>
      <c r="ALW90" s="2"/>
      <c r="ALX90" s="2"/>
      <c r="ALY90" s="2"/>
      <c r="ALZ90" s="2"/>
    </row>
    <row r="91" spans="1:1014">
      <c r="A91" s="49">
        <v>85</v>
      </c>
      <c r="B91" s="65" t="s">
        <v>203</v>
      </c>
      <c r="C91" s="65" t="s">
        <v>204</v>
      </c>
      <c r="D91" s="66">
        <f t="shared" si="15"/>
        <v>2442.0450000000001</v>
      </c>
      <c r="E91" s="81">
        <f t="shared" si="20"/>
        <v>2570.2250000000004</v>
      </c>
      <c r="F91" s="81"/>
      <c r="G91" s="71">
        <v>2600</v>
      </c>
      <c r="H91" s="71">
        <v>2485</v>
      </c>
      <c r="I91" s="72" t="s">
        <v>43</v>
      </c>
      <c r="J91" s="72" t="s">
        <v>84</v>
      </c>
      <c r="K91" s="72">
        <v>2310</v>
      </c>
      <c r="L91" s="72">
        <v>2245</v>
      </c>
      <c r="M91" s="83">
        <v>250</v>
      </c>
      <c r="N91" s="84" t="s">
        <v>43</v>
      </c>
      <c r="O91" s="49">
        <f t="shared" si="16"/>
        <v>5</v>
      </c>
      <c r="P91" s="2"/>
      <c r="Q91" s="49">
        <f t="shared" si="24"/>
        <v>85</v>
      </c>
      <c r="R91" s="52" t="str">
        <f t="shared" si="22"/>
        <v>Prunus padus 'Colorata'</v>
      </c>
      <c r="S91" s="51">
        <f t="shared" si="23"/>
        <v>181.58368359137719</v>
      </c>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row>
    <row r="92" spans="1:1014">
      <c r="A92" s="49">
        <v>86</v>
      </c>
      <c r="B92" s="65" t="s">
        <v>205</v>
      </c>
      <c r="C92" s="65" t="s">
        <v>188</v>
      </c>
      <c r="D92" s="66">
        <f t="shared" si="15"/>
        <v>2448</v>
      </c>
      <c r="E92" s="81"/>
      <c r="F92" s="81"/>
      <c r="G92" s="71">
        <v>2700</v>
      </c>
      <c r="H92" s="71">
        <v>2475</v>
      </c>
      <c r="I92" s="71">
        <v>2470</v>
      </c>
      <c r="J92" s="72" t="s">
        <v>43</v>
      </c>
      <c r="K92" s="72">
        <v>2350</v>
      </c>
      <c r="L92" s="72">
        <v>2245</v>
      </c>
      <c r="M92" s="84" t="s">
        <v>67</v>
      </c>
      <c r="N92" s="84" t="s">
        <v>43</v>
      </c>
      <c r="O92" s="49">
        <f t="shared" si="16"/>
        <v>5</v>
      </c>
      <c r="Q92" s="49">
        <f t="shared" si="24"/>
        <v>86</v>
      </c>
      <c r="R92" s="52" t="str">
        <f t="shared" si="22"/>
        <v>Prunus 'Sunset Boulevard'</v>
      </c>
      <c r="S92" s="51">
        <f t="shared" si="23"/>
        <v>182.02648085178257</v>
      </c>
    </row>
    <row r="93" spans="1:1014">
      <c r="A93" s="49">
        <v>87</v>
      </c>
      <c r="B93" s="65" t="s">
        <v>206</v>
      </c>
      <c r="C93" s="65" t="s">
        <v>188</v>
      </c>
      <c r="D93" s="66">
        <f t="shared" si="15"/>
        <v>3140</v>
      </c>
      <c r="E93" s="81"/>
      <c r="F93" s="81"/>
      <c r="G93" s="71">
        <v>3200</v>
      </c>
      <c r="H93" s="72" t="s">
        <v>43</v>
      </c>
      <c r="I93" s="71">
        <v>3080</v>
      </c>
      <c r="J93" s="72" t="s">
        <v>43</v>
      </c>
      <c r="K93" s="72" t="s">
        <v>43</v>
      </c>
      <c r="L93" s="72" t="s">
        <v>43</v>
      </c>
      <c r="M93" s="84" t="s">
        <v>67</v>
      </c>
      <c r="N93" s="85" t="s">
        <v>84</v>
      </c>
      <c r="O93" s="49">
        <f t="shared" si="16"/>
        <v>2</v>
      </c>
      <c r="Q93" s="49">
        <f t="shared" si="24"/>
        <v>87</v>
      </c>
      <c r="R93" s="52" t="str">
        <f t="shared" si="22"/>
        <v>Prunus 'Umineko'</v>
      </c>
      <c r="S93" s="51">
        <f t="shared" si="23"/>
        <v>233.48167887034202</v>
      </c>
    </row>
    <row r="94" spans="1:1014">
      <c r="A94" s="49">
        <v>88</v>
      </c>
      <c r="B94" s="65" t="s">
        <v>207</v>
      </c>
      <c r="C94" s="65" t="s">
        <v>188</v>
      </c>
      <c r="D94" s="66">
        <f t="shared" si="15"/>
        <v>2910.1125000000002</v>
      </c>
      <c r="E94" s="81">
        <f t="shared" si="20"/>
        <v>2570.2250000000004</v>
      </c>
      <c r="F94" s="81">
        <f>N94*$C$2</f>
        <v>2570.2250000000004</v>
      </c>
      <c r="G94" s="71">
        <v>3200</v>
      </c>
      <c r="H94" s="71">
        <v>3300</v>
      </c>
      <c r="I94" s="72" t="s">
        <v>43</v>
      </c>
      <c r="J94" s="72" t="s">
        <v>43</v>
      </c>
      <c r="K94" s="72" t="s">
        <v>43</v>
      </c>
      <c r="L94" s="72" t="s">
        <v>43</v>
      </c>
      <c r="M94" s="83">
        <v>250</v>
      </c>
      <c r="N94" s="83">
        <v>250</v>
      </c>
      <c r="O94" s="49">
        <f t="shared" si="16"/>
        <v>4</v>
      </c>
      <c r="Q94" s="49">
        <f t="shared" si="24"/>
        <v>88</v>
      </c>
      <c r="R94" s="52" t="str">
        <f t="shared" si="22"/>
        <v>Prunus x schmittii</v>
      </c>
      <c r="S94" s="51">
        <f t="shared" si="23"/>
        <v>216.38788286674148</v>
      </c>
    </row>
    <row r="95" spans="1:1014">
      <c r="A95" s="49">
        <v>89</v>
      </c>
      <c r="B95" s="65" t="s">
        <v>208</v>
      </c>
      <c r="C95" s="65" t="s">
        <v>209</v>
      </c>
      <c r="D95" s="66">
        <f t="shared" si="15"/>
        <v>2857.5750000000003</v>
      </c>
      <c r="E95" s="81">
        <f t="shared" si="20"/>
        <v>2570.2250000000004</v>
      </c>
      <c r="F95" s="81">
        <f>N95*$C$2</f>
        <v>2570.2250000000004</v>
      </c>
      <c r="G95" s="71">
        <v>3200</v>
      </c>
      <c r="H95" s="72" t="s">
        <v>43</v>
      </c>
      <c r="I95" s="71">
        <v>3080</v>
      </c>
      <c r="J95" s="72" t="s">
        <v>43</v>
      </c>
      <c r="K95" s="72">
        <v>2890</v>
      </c>
      <c r="L95" s="72">
        <v>2835</v>
      </c>
      <c r="M95" s="83">
        <v>250</v>
      </c>
      <c r="N95" s="83">
        <v>250</v>
      </c>
      <c r="O95" s="49">
        <f t="shared" si="16"/>
        <v>6</v>
      </c>
      <c r="Q95" s="49">
        <f t="shared" si="24"/>
        <v>89</v>
      </c>
      <c r="R95" s="52" t="str">
        <f t="shared" si="22"/>
        <v>Prunus x yedoensis</v>
      </c>
      <c r="S95" s="51">
        <f t="shared" si="23"/>
        <v>212.48134028596104</v>
      </c>
    </row>
    <row r="96" spans="1:1014">
      <c r="A96" s="49">
        <v>90</v>
      </c>
      <c r="B96" s="65" t="s">
        <v>210</v>
      </c>
      <c r="C96" s="65" t="s">
        <v>211</v>
      </c>
      <c r="D96" s="66">
        <f t="shared" si="15"/>
        <v>3880.3680625000002</v>
      </c>
      <c r="E96" s="81">
        <f t="shared" si="20"/>
        <v>2981.4610000000002</v>
      </c>
      <c r="F96" s="81">
        <f>N96*$C$2</f>
        <v>3238.4835000000003</v>
      </c>
      <c r="G96" s="71">
        <v>3900</v>
      </c>
      <c r="H96" s="71">
        <v>4360</v>
      </c>
      <c r="I96" s="71">
        <v>4310</v>
      </c>
      <c r="J96" s="71">
        <v>3903</v>
      </c>
      <c r="K96" s="72">
        <v>4100</v>
      </c>
      <c r="L96" s="72">
        <v>4250</v>
      </c>
      <c r="M96" s="83">
        <v>290</v>
      </c>
      <c r="N96" s="83">
        <v>315</v>
      </c>
      <c r="O96" s="49">
        <f t="shared" si="16"/>
        <v>8</v>
      </c>
      <c r="Q96" s="49">
        <f t="shared" si="24"/>
        <v>90</v>
      </c>
      <c r="R96" s="52" t="str">
        <f t="shared" si="22"/>
        <v>Pyrus communis</v>
      </c>
      <c r="S96" s="51">
        <f t="shared" si="23"/>
        <v>288.53339167750198</v>
      </c>
    </row>
    <row r="97" spans="1:19">
      <c r="A97" s="49">
        <v>91</v>
      </c>
      <c r="B97" s="65" t="s">
        <v>212</v>
      </c>
      <c r="C97" s="65" t="s">
        <v>213</v>
      </c>
      <c r="D97" s="66">
        <f t="shared" si="15"/>
        <v>2744.913</v>
      </c>
      <c r="E97" s="81">
        <f t="shared" si="20"/>
        <v>2878.652</v>
      </c>
      <c r="F97" s="81">
        <f>N97*$C$2</f>
        <v>2878.652</v>
      </c>
      <c r="G97" s="71">
        <v>2700</v>
      </c>
      <c r="H97" s="71">
        <v>2680</v>
      </c>
      <c r="I97" s="71">
        <v>2660</v>
      </c>
      <c r="J97" s="71">
        <v>2722</v>
      </c>
      <c r="K97" s="72">
        <v>2970</v>
      </c>
      <c r="L97" s="72">
        <v>2470</v>
      </c>
      <c r="M97" s="83">
        <v>280</v>
      </c>
      <c r="N97" s="83">
        <v>280</v>
      </c>
      <c r="O97" s="49">
        <f t="shared" si="16"/>
        <v>8</v>
      </c>
      <c r="Q97" s="49">
        <f t="shared" si="24"/>
        <v>91</v>
      </c>
      <c r="R97" s="52" t="str">
        <f t="shared" si="22"/>
        <v>Quercus palustris</v>
      </c>
      <c r="S97" s="51">
        <f t="shared" si="23"/>
        <v>204.10410687676023</v>
      </c>
    </row>
    <row r="98" spans="1:19">
      <c r="A98" s="49">
        <v>92</v>
      </c>
      <c r="B98" s="65" t="s">
        <v>214</v>
      </c>
      <c r="C98" s="65" t="s">
        <v>215</v>
      </c>
      <c r="D98" s="66">
        <f t="shared" si="15"/>
        <v>2592.09</v>
      </c>
      <c r="E98" s="81">
        <f t="shared" si="20"/>
        <v>2570.2250000000004</v>
      </c>
      <c r="F98" s="81">
        <f>N98*$C$2</f>
        <v>2570.2250000000004</v>
      </c>
      <c r="G98" s="73" t="s">
        <v>43</v>
      </c>
      <c r="H98" s="71">
        <v>2580</v>
      </c>
      <c r="I98" s="71">
        <v>2570</v>
      </c>
      <c r="J98" s="73" t="s">
        <v>43</v>
      </c>
      <c r="K98" s="72">
        <v>2670</v>
      </c>
      <c r="L98" s="72" t="s">
        <v>43</v>
      </c>
      <c r="M98" s="83">
        <v>250</v>
      </c>
      <c r="N98" s="83">
        <v>250</v>
      </c>
      <c r="O98" s="49">
        <f t="shared" si="16"/>
        <v>5</v>
      </c>
      <c r="Q98" s="49">
        <f t="shared" si="24"/>
        <v>92</v>
      </c>
      <c r="R98" s="52" t="str">
        <f t="shared" si="22"/>
        <v>Quercus robur</v>
      </c>
      <c r="S98" s="51">
        <f t="shared" si="23"/>
        <v>192.74061305191876</v>
      </c>
    </row>
    <row r="99" spans="1:19">
      <c r="A99" s="49">
        <v>93</v>
      </c>
      <c r="B99" s="65" t="s">
        <v>216</v>
      </c>
      <c r="C99" s="65"/>
      <c r="D99" s="66">
        <f t="shared" si="15"/>
        <v>2969.5</v>
      </c>
      <c r="E99" s="81"/>
      <c r="F99" s="81"/>
      <c r="G99" s="71">
        <v>3100</v>
      </c>
      <c r="H99" s="71">
        <v>3085</v>
      </c>
      <c r="I99" s="71">
        <v>3140</v>
      </c>
      <c r="J99" s="71">
        <v>2722</v>
      </c>
      <c r="K99" s="72">
        <v>2880</v>
      </c>
      <c r="L99" s="72">
        <v>2890</v>
      </c>
      <c r="M99" s="85" t="s">
        <v>43</v>
      </c>
      <c r="N99" s="84" t="s">
        <v>43</v>
      </c>
      <c r="O99" s="49">
        <f t="shared" si="16"/>
        <v>6</v>
      </c>
      <c r="Q99" s="49">
        <f t="shared" si="24"/>
        <v>93</v>
      </c>
      <c r="R99" s="52" t="str">
        <f t="shared" si="22"/>
        <v>Quercus robur FK Linköping/Ultuna E</v>
      </c>
      <c r="S99" s="51">
        <f t="shared" si="23"/>
        <v>220.80377242212759</v>
      </c>
    </row>
    <row r="100" spans="1:19">
      <c r="A100" s="49">
        <v>94</v>
      </c>
      <c r="B100" s="65" t="s">
        <v>217</v>
      </c>
      <c r="C100" s="65" t="s">
        <v>218</v>
      </c>
      <c r="D100" s="66">
        <f t="shared" si="15"/>
        <v>2771.826</v>
      </c>
      <c r="E100" s="81">
        <f t="shared" si="20"/>
        <v>2878.652</v>
      </c>
      <c r="F100" s="81">
        <f>N100*$C$2</f>
        <v>2878.652</v>
      </c>
      <c r="G100" s="73" t="s">
        <v>43</v>
      </c>
      <c r="H100" s="72" t="s">
        <v>43</v>
      </c>
      <c r="I100" s="71">
        <v>2660</v>
      </c>
      <c r="J100" s="73" t="s">
        <v>43</v>
      </c>
      <c r="K100" s="72">
        <v>2670</v>
      </c>
      <c r="L100" s="72" t="s">
        <v>43</v>
      </c>
      <c r="M100" s="83">
        <v>280</v>
      </c>
      <c r="N100" s="83">
        <v>280</v>
      </c>
      <c r="O100" s="49">
        <f t="shared" si="16"/>
        <v>4</v>
      </c>
      <c r="Q100" s="49">
        <f t="shared" si="24"/>
        <v>94</v>
      </c>
      <c r="R100" s="52" t="str">
        <f t="shared" si="22"/>
        <v>Quercus rubra</v>
      </c>
      <c r="S100" s="51">
        <f t="shared" si="23"/>
        <v>206.10528280779127</v>
      </c>
    </row>
    <row r="101" spans="1:19">
      <c r="A101" s="49">
        <v>95</v>
      </c>
      <c r="B101" s="65" t="s">
        <v>219</v>
      </c>
      <c r="C101" s="65"/>
      <c r="D101" s="66">
        <f t="shared" si="15"/>
        <v>2774.5</v>
      </c>
      <c r="E101" s="81"/>
      <c r="F101" s="81"/>
      <c r="G101" s="71">
        <v>3100</v>
      </c>
      <c r="H101" s="71">
        <v>2685</v>
      </c>
      <c r="I101" s="71">
        <v>2740</v>
      </c>
      <c r="J101" s="71">
        <v>2722</v>
      </c>
      <c r="K101" s="72">
        <v>2880</v>
      </c>
      <c r="L101" s="72">
        <v>2520</v>
      </c>
      <c r="M101" s="85" t="s">
        <v>43</v>
      </c>
      <c r="N101" s="84" t="s">
        <v>43</v>
      </c>
      <c r="O101" s="49">
        <f t="shared" si="16"/>
        <v>6</v>
      </c>
      <c r="Q101" s="49">
        <f t="shared" si="24"/>
        <v>95</v>
      </c>
      <c r="R101" s="52" t="str">
        <f t="shared" si="22"/>
        <v>Quercus rubra FK Bäcklösa/Enköping E</v>
      </c>
      <c r="S101" s="51">
        <f t="shared" si="23"/>
        <v>206.30411402094393</v>
      </c>
    </row>
    <row r="102" spans="1:19">
      <c r="A102" s="49">
        <v>96</v>
      </c>
      <c r="B102" s="65" t="s">
        <v>220</v>
      </c>
      <c r="C102" s="65" t="s">
        <v>221</v>
      </c>
      <c r="D102" s="66">
        <f t="shared" si="15"/>
        <v>2915.7785714285715</v>
      </c>
      <c r="E102" s="81">
        <f t="shared" si="20"/>
        <v>2570.2250000000004</v>
      </c>
      <c r="F102" s="81">
        <f>N102*$C$2</f>
        <v>2570.2250000000004</v>
      </c>
      <c r="G102" s="71">
        <v>3100</v>
      </c>
      <c r="H102" s="71">
        <v>3195</v>
      </c>
      <c r="I102" s="71">
        <v>3180</v>
      </c>
      <c r="J102" s="73" t="s">
        <v>43</v>
      </c>
      <c r="K102" s="72">
        <v>2960</v>
      </c>
      <c r="L102" s="72">
        <v>2835</v>
      </c>
      <c r="M102" s="83">
        <v>250</v>
      </c>
      <c r="N102" s="83">
        <v>250</v>
      </c>
      <c r="O102" s="49">
        <f t="shared" si="16"/>
        <v>7</v>
      </c>
      <c r="Q102" s="49">
        <f t="shared" si="24"/>
        <v>96</v>
      </c>
      <c r="R102" s="52" t="str">
        <f t="shared" si="22"/>
        <v>Robinia pseudoacacia</v>
      </c>
      <c r="S102" s="51">
        <f t="shared" si="23"/>
        <v>216.80919620105425</v>
      </c>
    </row>
    <row r="103" spans="1:19">
      <c r="A103" s="49">
        <v>97</v>
      </c>
      <c r="B103" s="65" t="s">
        <v>222</v>
      </c>
      <c r="C103" s="65" t="s">
        <v>223</v>
      </c>
      <c r="D103" s="66">
        <f t="shared" ref="D103:D127" si="25">AVERAGE(E103:L103)</f>
        <v>2048.750125</v>
      </c>
      <c r="E103" s="81">
        <f t="shared" si="20"/>
        <v>2261.7980000000002</v>
      </c>
      <c r="F103" s="81">
        <f>N103*$C$2</f>
        <v>2313.2025000000003</v>
      </c>
      <c r="G103" s="73" t="s">
        <v>43</v>
      </c>
      <c r="H103" s="73" t="s">
        <v>43</v>
      </c>
      <c r="I103" s="71">
        <v>1870</v>
      </c>
      <c r="J103" s="71">
        <v>1750</v>
      </c>
      <c r="K103" s="72" t="s">
        <v>43</v>
      </c>
      <c r="L103" s="72" t="s">
        <v>43</v>
      </c>
      <c r="M103" s="83">
        <v>220</v>
      </c>
      <c r="N103" s="83">
        <v>225</v>
      </c>
      <c r="O103" s="49">
        <f t="shared" ref="O103:O115" si="26">COUNT(E103:L103)</f>
        <v>4</v>
      </c>
      <c r="Q103" s="49">
        <f t="shared" si="24"/>
        <v>97</v>
      </c>
      <c r="R103" s="52" t="str">
        <f t="shared" si="22"/>
        <v>Salix alba</v>
      </c>
      <c r="S103" s="51">
        <f t="shared" si="23"/>
        <v>152.33936903529397</v>
      </c>
    </row>
    <row r="104" spans="1:19">
      <c r="A104" s="49">
        <v>98</v>
      </c>
      <c r="B104" s="65" t="s">
        <v>224</v>
      </c>
      <c r="C104" s="65" t="s">
        <v>225</v>
      </c>
      <c r="D104" s="66" t="e">
        <f t="shared" si="25"/>
        <v>#DIV/0!</v>
      </c>
      <c r="E104" s="82"/>
      <c r="F104" s="82"/>
      <c r="G104" s="77" t="s">
        <v>226</v>
      </c>
      <c r="H104" s="77" t="s">
        <v>226</v>
      </c>
      <c r="I104" s="78" t="s">
        <v>226</v>
      </c>
      <c r="J104" s="78" t="s">
        <v>226</v>
      </c>
      <c r="K104" s="77" t="s">
        <v>226</v>
      </c>
      <c r="L104" s="77" t="s">
        <v>226</v>
      </c>
      <c r="M104" s="84" t="s">
        <v>226</v>
      </c>
      <c r="N104" s="84" t="s">
        <v>226</v>
      </c>
      <c r="O104" s="49">
        <f t="shared" si="26"/>
        <v>0</v>
      </c>
      <c r="Q104" s="49">
        <f t="shared" si="24"/>
        <v>98</v>
      </c>
      <c r="R104" s="52" t="str">
        <f t="shared" si="22"/>
        <v>Salix caprea</v>
      </c>
      <c r="S104" s="51" t="e">
        <f t="shared" si="23"/>
        <v>#DIV/0!</v>
      </c>
    </row>
    <row r="105" spans="1:19">
      <c r="A105" s="49">
        <v>99</v>
      </c>
      <c r="B105" s="65" t="s">
        <v>227</v>
      </c>
      <c r="C105" s="65" t="s">
        <v>228</v>
      </c>
      <c r="D105" s="66">
        <f t="shared" si="25"/>
        <v>2079.35</v>
      </c>
      <c r="E105" s="82">
        <f t="shared" si="20"/>
        <v>2570.2250000000004</v>
      </c>
      <c r="F105" s="82">
        <f>N105*$C$2</f>
        <v>2570.2250000000004</v>
      </c>
      <c r="G105" s="79">
        <v>2100</v>
      </c>
      <c r="H105" s="79">
        <v>2020</v>
      </c>
      <c r="I105" s="79">
        <v>2010</v>
      </c>
      <c r="J105" s="77" t="s">
        <v>43</v>
      </c>
      <c r="K105" s="77">
        <v>1680</v>
      </c>
      <c r="L105" s="77">
        <v>1605</v>
      </c>
      <c r="M105" s="83">
        <v>250</v>
      </c>
      <c r="N105" s="83">
        <v>250</v>
      </c>
      <c r="O105" s="49">
        <f t="shared" si="26"/>
        <v>7</v>
      </c>
      <c r="Q105" s="49">
        <f t="shared" si="24"/>
        <v>99</v>
      </c>
      <c r="R105" s="52" t="str">
        <f t="shared" si="22"/>
        <v>Salix x sepulcralis 'Chrysocoma' (Salix alba 'Tristis')</v>
      </c>
      <c r="S105" s="51">
        <f t="shared" si="23"/>
        <v>154.61469075128844</v>
      </c>
    </row>
    <row r="106" spans="1:19">
      <c r="A106" s="49">
        <v>100</v>
      </c>
      <c r="B106" s="65" t="s">
        <v>229</v>
      </c>
      <c r="C106" s="65" t="s">
        <v>230</v>
      </c>
      <c r="D106" s="66" t="e">
        <f t="shared" si="25"/>
        <v>#DIV/0!</v>
      </c>
      <c r="E106" s="82"/>
      <c r="F106" s="82"/>
      <c r="G106" s="77" t="s">
        <v>226</v>
      </c>
      <c r="H106" s="77" t="s">
        <v>226</v>
      </c>
      <c r="I106" s="78" t="s">
        <v>84</v>
      </c>
      <c r="J106" s="77" t="s">
        <v>226</v>
      </c>
      <c r="K106" s="77" t="s">
        <v>226</v>
      </c>
      <c r="L106" s="77" t="s">
        <v>226</v>
      </c>
      <c r="M106" s="84" t="s">
        <v>226</v>
      </c>
      <c r="N106" s="84" t="s">
        <v>226</v>
      </c>
      <c r="O106" s="49">
        <f t="shared" si="26"/>
        <v>0</v>
      </c>
      <c r="Q106" s="49">
        <f t="shared" si="24"/>
        <v>100</v>
      </c>
      <c r="R106" s="52" t="str">
        <f t="shared" si="22"/>
        <v>Sambucus nigra</v>
      </c>
      <c r="S106" s="51" t="e">
        <f t="shared" si="23"/>
        <v>#DIV/0!</v>
      </c>
    </row>
    <row r="107" spans="1:19">
      <c r="A107" s="49">
        <v>101</v>
      </c>
      <c r="B107" s="65" t="s">
        <v>231</v>
      </c>
      <c r="C107" s="65" t="s">
        <v>232</v>
      </c>
      <c r="D107" s="66">
        <f t="shared" si="25"/>
        <v>2890.038</v>
      </c>
      <c r="E107" s="82">
        <f t="shared" si="20"/>
        <v>2878.652</v>
      </c>
      <c r="F107" s="82">
        <f>N107*$C$2</f>
        <v>2878.652</v>
      </c>
      <c r="G107" s="79">
        <v>2900</v>
      </c>
      <c r="H107" s="79">
        <v>2820</v>
      </c>
      <c r="I107" s="79">
        <v>2860</v>
      </c>
      <c r="J107" s="79">
        <v>3318</v>
      </c>
      <c r="K107" s="77">
        <v>2840</v>
      </c>
      <c r="L107" s="77">
        <v>2625</v>
      </c>
      <c r="M107" s="83">
        <v>280</v>
      </c>
      <c r="N107" s="83">
        <v>280</v>
      </c>
      <c r="O107" s="49">
        <f t="shared" si="26"/>
        <v>8</v>
      </c>
      <c r="Q107" s="49">
        <f t="shared" si="24"/>
        <v>101</v>
      </c>
      <c r="R107" s="52" t="str">
        <f t="shared" si="22"/>
        <v>Sorbus aria 'Gigantea'</v>
      </c>
      <c r="S107" s="51">
        <f t="shared" si="23"/>
        <v>214.89519880225652</v>
      </c>
    </row>
    <row r="108" spans="1:19">
      <c r="A108" s="49">
        <v>102</v>
      </c>
      <c r="B108" s="65" t="s">
        <v>233</v>
      </c>
      <c r="C108" s="65" t="s">
        <v>234</v>
      </c>
      <c r="D108" s="66">
        <f t="shared" si="25"/>
        <v>2878.652</v>
      </c>
      <c r="E108" s="82">
        <f t="shared" si="20"/>
        <v>2878.652</v>
      </c>
      <c r="F108" s="82">
        <f>N108*$C$2</f>
        <v>2878.652</v>
      </c>
      <c r="G108" s="78" t="s">
        <v>43</v>
      </c>
      <c r="H108" s="78" t="s">
        <v>43</v>
      </c>
      <c r="I108" s="77" t="s">
        <v>43</v>
      </c>
      <c r="J108" s="77" t="s">
        <v>43</v>
      </c>
      <c r="K108" s="77" t="s">
        <v>43</v>
      </c>
      <c r="L108" s="77" t="s">
        <v>43</v>
      </c>
      <c r="M108" s="83">
        <v>280</v>
      </c>
      <c r="N108" s="83">
        <v>280</v>
      </c>
      <c r="O108" s="49">
        <f t="shared" si="26"/>
        <v>2</v>
      </c>
      <c r="Q108" s="49">
        <f t="shared" si="24"/>
        <v>102</v>
      </c>
      <c r="R108" s="52" t="str">
        <f t="shared" si="22"/>
        <v>Sorbus aria</v>
      </c>
      <c r="S108" s="51">
        <f t="shared" si="23"/>
        <v>214.04856746607254</v>
      </c>
    </row>
    <row r="109" spans="1:19">
      <c r="A109" s="49">
        <v>103</v>
      </c>
      <c r="B109" s="65" t="s">
        <v>235</v>
      </c>
      <c r="C109" s="65" t="s">
        <v>236</v>
      </c>
      <c r="D109" s="66">
        <f t="shared" si="25"/>
        <v>2685.768</v>
      </c>
      <c r="E109" s="82">
        <f t="shared" si="20"/>
        <v>2878.652</v>
      </c>
      <c r="F109" s="82">
        <f>N109*$C$2</f>
        <v>2878.652</v>
      </c>
      <c r="G109" s="78" t="s">
        <v>43</v>
      </c>
      <c r="H109" s="78" t="s">
        <v>43</v>
      </c>
      <c r="I109" s="77" t="s">
        <v>43</v>
      </c>
      <c r="J109" s="77" t="s">
        <v>43</v>
      </c>
      <c r="K109" s="77">
        <v>2300</v>
      </c>
      <c r="L109" s="77" t="s">
        <v>43</v>
      </c>
      <c r="M109" s="83">
        <v>280</v>
      </c>
      <c r="N109" s="83">
        <v>280</v>
      </c>
      <c r="O109" s="49">
        <f t="shared" si="26"/>
        <v>3</v>
      </c>
      <c r="Q109" s="49">
        <f t="shared" si="24"/>
        <v>103</v>
      </c>
      <c r="R109" s="52" t="str">
        <f t="shared" si="22"/>
        <v>Sorbus intermedia</v>
      </c>
      <c r="S109" s="51">
        <f t="shared" si="23"/>
        <v>199.70624894784737</v>
      </c>
    </row>
    <row r="110" spans="1:19">
      <c r="A110" s="49">
        <v>104</v>
      </c>
      <c r="B110" s="65" t="s">
        <v>237</v>
      </c>
      <c r="C110" s="65"/>
      <c r="D110" s="66">
        <f t="shared" si="25"/>
        <v>2466.6666666666665</v>
      </c>
      <c r="E110" s="82"/>
      <c r="F110" s="82"/>
      <c r="G110" s="79">
        <v>2700</v>
      </c>
      <c r="H110" s="79">
        <v>2585</v>
      </c>
      <c r="I110" s="79">
        <v>2630</v>
      </c>
      <c r="J110" s="79">
        <v>1985</v>
      </c>
      <c r="K110" s="77">
        <v>2550</v>
      </c>
      <c r="L110" s="77">
        <v>2350</v>
      </c>
      <c r="M110" s="85" t="s">
        <v>43</v>
      </c>
      <c r="N110" s="84" t="s">
        <v>43</v>
      </c>
      <c r="O110" s="49">
        <f t="shared" si="26"/>
        <v>6</v>
      </c>
      <c r="Q110" s="49">
        <f t="shared" si="24"/>
        <v>104</v>
      </c>
      <c r="R110" s="52" t="str">
        <f t="shared" si="22"/>
        <v>Sorbus intermedia FK Norrköping E</v>
      </c>
      <c r="S110" s="51">
        <f t="shared" si="23"/>
        <v>183.4144823397591</v>
      </c>
    </row>
    <row r="111" spans="1:19">
      <c r="A111" s="49">
        <v>105</v>
      </c>
      <c r="B111" s="65" t="s">
        <v>238</v>
      </c>
      <c r="C111" s="65" t="s">
        <v>239</v>
      </c>
      <c r="D111" s="66">
        <f t="shared" si="25"/>
        <v>2048.3335000000002</v>
      </c>
      <c r="E111" s="82">
        <f t="shared" si="20"/>
        <v>2261.7980000000002</v>
      </c>
      <c r="F111" s="82">
        <f>N111*$C$2</f>
        <v>2313.2025000000003</v>
      </c>
      <c r="G111" s="78" t="s">
        <v>43</v>
      </c>
      <c r="H111" s="78" t="s">
        <v>43</v>
      </c>
      <c r="I111" s="77" t="s">
        <v>43</v>
      </c>
      <c r="J111" s="77" t="s">
        <v>43</v>
      </c>
      <c r="K111" s="77">
        <v>1570</v>
      </c>
      <c r="L111" s="77" t="s">
        <v>43</v>
      </c>
      <c r="M111" s="83">
        <v>220</v>
      </c>
      <c r="N111" s="83">
        <v>225</v>
      </c>
      <c r="O111" s="49">
        <f t="shared" si="26"/>
        <v>3</v>
      </c>
      <c r="Q111" s="49">
        <f t="shared" si="24"/>
        <v>105</v>
      </c>
      <c r="R111" s="52" t="str">
        <f t="shared" si="22"/>
        <v>Sorbus aucuparia</v>
      </c>
      <c r="S111" s="51">
        <f t="shared" si="23"/>
        <v>152.30838995744068</v>
      </c>
    </row>
    <row r="112" spans="1:19">
      <c r="A112" s="49">
        <v>106</v>
      </c>
      <c r="B112" s="65" t="s">
        <v>240</v>
      </c>
      <c r="C112" s="65"/>
      <c r="D112" s="66">
        <f t="shared" si="25"/>
        <v>1810.8333333333333</v>
      </c>
      <c r="E112" s="82"/>
      <c r="F112" s="82"/>
      <c r="G112" s="79">
        <v>1950</v>
      </c>
      <c r="H112" s="79">
        <v>1760</v>
      </c>
      <c r="I112" s="79">
        <v>1790</v>
      </c>
      <c r="J112" s="79">
        <v>1930</v>
      </c>
      <c r="K112" s="77">
        <v>1830</v>
      </c>
      <c r="L112" s="77">
        <v>1605</v>
      </c>
      <c r="M112" s="85" t="s">
        <v>43</v>
      </c>
      <c r="N112" s="84" t="s">
        <v>43</v>
      </c>
      <c r="O112" s="49">
        <f t="shared" si="26"/>
        <v>6</v>
      </c>
      <c r="Q112" s="49">
        <f t="shared" si="24"/>
        <v>106</v>
      </c>
      <c r="R112" s="52" t="str">
        <f t="shared" si="22"/>
        <v>Sorbus aucuparia FK Västeråker E</v>
      </c>
      <c r="S112" s="51">
        <f t="shared" si="23"/>
        <v>134.64853720415425</v>
      </c>
    </row>
    <row r="113" spans="1:19">
      <c r="A113" s="49">
        <v>107</v>
      </c>
      <c r="B113" s="65" t="s">
        <v>241</v>
      </c>
      <c r="C113" s="65" t="s">
        <v>242</v>
      </c>
      <c r="D113" s="66">
        <f t="shared" si="25"/>
        <v>2287.5002500000001</v>
      </c>
      <c r="E113" s="82">
        <f t="shared" si="20"/>
        <v>2261.7980000000002</v>
      </c>
      <c r="F113" s="82">
        <f t="shared" ref="F113:F119" si="27">N113*$C$2</f>
        <v>2313.2025000000003</v>
      </c>
      <c r="G113" s="78" t="s">
        <v>43</v>
      </c>
      <c r="H113" s="77" t="s">
        <v>43</v>
      </c>
      <c r="I113" s="78" t="s">
        <v>43</v>
      </c>
      <c r="J113" s="77" t="s">
        <v>43</v>
      </c>
      <c r="K113" s="77" t="s">
        <v>43</v>
      </c>
      <c r="L113" s="77" t="s">
        <v>43</v>
      </c>
      <c r="M113" s="83">
        <v>220</v>
      </c>
      <c r="N113" s="83">
        <v>225</v>
      </c>
      <c r="O113" s="49">
        <f t="shared" si="26"/>
        <v>2</v>
      </c>
      <c r="Q113" s="49">
        <f t="shared" si="24"/>
        <v>107</v>
      </c>
      <c r="R113" s="52" t="str">
        <f t="shared" si="22"/>
        <v>Tilia americana 'Nova'</v>
      </c>
      <c r="S113" s="51">
        <f t="shared" si="23"/>
        <v>170.0921652185755</v>
      </c>
    </row>
    <row r="114" spans="1:19">
      <c r="A114" s="49">
        <v>108</v>
      </c>
      <c r="B114" s="65" t="s">
        <v>243</v>
      </c>
      <c r="C114" s="65" t="s">
        <v>242</v>
      </c>
      <c r="D114" s="66">
        <f t="shared" si="25"/>
        <v>2089.1812500000001</v>
      </c>
      <c r="E114" s="82">
        <f t="shared" si="20"/>
        <v>2570.2250000000004</v>
      </c>
      <c r="F114" s="82">
        <f t="shared" si="27"/>
        <v>2570.2250000000004</v>
      </c>
      <c r="G114" s="79">
        <v>2100</v>
      </c>
      <c r="H114" s="79">
        <v>1895</v>
      </c>
      <c r="I114" s="79">
        <v>1940</v>
      </c>
      <c r="J114" s="79">
        <v>2298</v>
      </c>
      <c r="K114" s="77">
        <v>1890</v>
      </c>
      <c r="L114" s="77">
        <v>1450</v>
      </c>
      <c r="M114" s="83">
        <v>250</v>
      </c>
      <c r="N114" s="83">
        <v>250</v>
      </c>
      <c r="O114" s="49">
        <f t="shared" si="26"/>
        <v>8</v>
      </c>
      <c r="Q114" s="49">
        <f t="shared" si="24"/>
        <v>108</v>
      </c>
      <c r="R114" s="52" t="str">
        <f t="shared" si="22"/>
        <v>Tilia cordata</v>
      </c>
      <c r="S114" s="51">
        <f t="shared" si="23"/>
        <v>155.34571519568144</v>
      </c>
    </row>
    <row r="115" spans="1:19">
      <c r="A115" s="49">
        <v>109</v>
      </c>
      <c r="B115" s="65" t="s">
        <v>244</v>
      </c>
      <c r="C115" s="65"/>
      <c r="D115" s="66">
        <f t="shared" si="25"/>
        <v>2066.6667499999999</v>
      </c>
      <c r="E115" s="82">
        <f t="shared" si="20"/>
        <v>2261.7980000000002</v>
      </c>
      <c r="F115" s="82">
        <f t="shared" si="27"/>
        <v>2313.2025000000003</v>
      </c>
      <c r="G115" s="79">
        <v>2100</v>
      </c>
      <c r="H115" s="79">
        <v>1895</v>
      </c>
      <c r="I115" s="79">
        <v>1940</v>
      </c>
      <c r="J115" s="78" t="s">
        <v>43</v>
      </c>
      <c r="K115" s="77">
        <v>1890</v>
      </c>
      <c r="L115" s="77" t="s">
        <v>43</v>
      </c>
      <c r="M115" s="83">
        <v>220</v>
      </c>
      <c r="N115" s="83">
        <v>225</v>
      </c>
      <c r="O115" s="49">
        <f t="shared" si="26"/>
        <v>6</v>
      </c>
      <c r="Q115" s="49">
        <f t="shared" si="24"/>
        <v>109</v>
      </c>
      <c r="R115" s="52" t="str">
        <f t="shared" si="22"/>
        <v xml:space="preserve">Tilia platyphyllos </v>
      </c>
      <c r="S115" s="51">
        <f t="shared" si="23"/>
        <v>153.67159950812527</v>
      </c>
    </row>
    <row r="116" spans="1:19">
      <c r="A116" s="49">
        <v>110</v>
      </c>
      <c r="B116" s="65" t="s">
        <v>245</v>
      </c>
      <c r="C116" s="65" t="s">
        <v>246</v>
      </c>
      <c r="D116" s="66">
        <f t="shared" si="25"/>
        <v>2153.750125</v>
      </c>
      <c r="E116" s="82">
        <f t="shared" si="20"/>
        <v>2261.7980000000002</v>
      </c>
      <c r="F116" s="82">
        <f t="shared" si="27"/>
        <v>2313.2025000000003</v>
      </c>
      <c r="G116" s="79">
        <v>2100</v>
      </c>
      <c r="H116" s="77" t="s">
        <v>43</v>
      </c>
      <c r="I116" s="79">
        <v>1940</v>
      </c>
      <c r="J116" s="78" t="s">
        <v>43</v>
      </c>
      <c r="K116" s="77" t="s">
        <v>43</v>
      </c>
      <c r="L116" s="77" t="s">
        <v>43</v>
      </c>
      <c r="M116" s="83">
        <v>220</v>
      </c>
      <c r="N116" s="83">
        <v>225</v>
      </c>
      <c r="O116" s="49">
        <f t="shared" ref="O116:O137" si="28">COUNT(E116:L116)</f>
        <v>4</v>
      </c>
      <c r="Q116" s="49">
        <f t="shared" ref="Q116:Q127" si="29">A116</f>
        <v>110</v>
      </c>
      <c r="R116" s="52" t="str">
        <f t="shared" ref="R116:R127" si="30">B116</f>
        <v>Tilia platyphyllos 'Rubra'</v>
      </c>
      <c r="S116" s="51">
        <f t="shared" ref="S116:S127" si="31">D116/$C$3</f>
        <v>160.14687740516209</v>
      </c>
    </row>
    <row r="117" spans="1:19">
      <c r="A117" s="49">
        <v>111</v>
      </c>
      <c r="B117" s="65" t="s">
        <v>247</v>
      </c>
      <c r="C117" s="65" t="s">
        <v>248</v>
      </c>
      <c r="D117" s="66">
        <f t="shared" si="25"/>
        <v>2166.0562500000001</v>
      </c>
      <c r="E117" s="82">
        <f t="shared" si="20"/>
        <v>2570.2250000000004</v>
      </c>
      <c r="F117" s="82">
        <f t="shared" si="27"/>
        <v>2570.2250000000004</v>
      </c>
      <c r="G117" s="79">
        <v>2100</v>
      </c>
      <c r="H117" s="79">
        <v>2040</v>
      </c>
      <c r="I117" s="79">
        <v>2030</v>
      </c>
      <c r="J117" s="79">
        <v>2298</v>
      </c>
      <c r="K117" s="77">
        <v>1790</v>
      </c>
      <c r="L117" s="77">
        <v>1930</v>
      </c>
      <c r="M117" s="83">
        <v>250</v>
      </c>
      <c r="N117" s="83">
        <v>250</v>
      </c>
      <c r="O117" s="49">
        <f t="shared" si="28"/>
        <v>8</v>
      </c>
      <c r="Q117" s="49">
        <f t="shared" si="29"/>
        <v>111</v>
      </c>
      <c r="R117" s="52" t="str">
        <f t="shared" si="30"/>
        <v>Tilia tomentosa</v>
      </c>
      <c r="S117" s="51">
        <f t="shared" si="31"/>
        <v>161.06192668076346</v>
      </c>
    </row>
    <row r="118" spans="1:19">
      <c r="A118" s="49">
        <v>112</v>
      </c>
      <c r="B118" s="65" t="s">
        <v>249</v>
      </c>
      <c r="C118" s="65" t="s">
        <v>250</v>
      </c>
      <c r="D118" s="66">
        <f t="shared" si="25"/>
        <v>2205.0001666666667</v>
      </c>
      <c r="E118" s="82">
        <f t="shared" si="20"/>
        <v>2261.7980000000002</v>
      </c>
      <c r="F118" s="82">
        <f t="shared" si="27"/>
        <v>2313.2025000000003</v>
      </c>
      <c r="G118" s="78" t="s">
        <v>43</v>
      </c>
      <c r="H118" s="79">
        <v>2040</v>
      </c>
      <c r="I118" s="77" t="s">
        <v>43</v>
      </c>
      <c r="J118" s="77" t="s">
        <v>43</v>
      </c>
      <c r="K118" s="77" t="s">
        <v>43</v>
      </c>
      <c r="L118" s="77" t="s">
        <v>43</v>
      </c>
      <c r="M118" s="83">
        <v>220</v>
      </c>
      <c r="N118" s="83">
        <v>225</v>
      </c>
      <c r="O118" s="49">
        <f t="shared" si="28"/>
        <v>3</v>
      </c>
      <c r="Q118" s="49">
        <f t="shared" si="29"/>
        <v>112</v>
      </c>
      <c r="R118" s="52" t="str">
        <f t="shared" si="30"/>
        <v>Tilia x europaea (syn. vulgaris, syn. Intermedia)</v>
      </c>
      <c r="S118" s="51">
        <f t="shared" si="31"/>
        <v>163.95768816010104</v>
      </c>
    </row>
    <row r="119" spans="1:19">
      <c r="A119" s="49">
        <v>113</v>
      </c>
      <c r="B119" s="65" t="s">
        <v>251</v>
      </c>
      <c r="C119" s="65" t="s">
        <v>252</v>
      </c>
      <c r="D119" s="66">
        <f t="shared" si="25"/>
        <v>2191.0562500000001</v>
      </c>
      <c r="E119" s="82">
        <f t="shared" si="20"/>
        <v>2570.2250000000004</v>
      </c>
      <c r="F119" s="82">
        <f t="shared" si="27"/>
        <v>2570.2250000000004</v>
      </c>
      <c r="G119" s="79">
        <v>2200</v>
      </c>
      <c r="H119" s="79">
        <v>2040</v>
      </c>
      <c r="I119" s="79">
        <v>2030</v>
      </c>
      <c r="J119" s="79">
        <v>2298</v>
      </c>
      <c r="K119" s="77">
        <v>1890</v>
      </c>
      <c r="L119" s="77">
        <v>1930</v>
      </c>
      <c r="M119" s="83">
        <v>250</v>
      </c>
      <c r="N119" s="83">
        <v>250</v>
      </c>
      <c r="O119" s="49">
        <f t="shared" si="28"/>
        <v>8</v>
      </c>
      <c r="Q119" s="49">
        <f t="shared" si="29"/>
        <v>113</v>
      </c>
      <c r="R119" s="52" t="str">
        <f t="shared" si="30"/>
        <v>Tilia x europaea 'Euchlora'</v>
      </c>
      <c r="S119" s="51">
        <f t="shared" si="31"/>
        <v>162.92085724501777</v>
      </c>
    </row>
    <row r="120" spans="1:19">
      <c r="A120" s="49">
        <v>114</v>
      </c>
      <c r="B120" s="65" t="s">
        <v>253</v>
      </c>
      <c r="C120" s="65" t="s">
        <v>254</v>
      </c>
      <c r="D120" s="66">
        <f t="shared" si="25"/>
        <v>2000</v>
      </c>
      <c r="E120" s="82"/>
      <c r="F120" s="82"/>
      <c r="G120" s="78" t="s">
        <v>43</v>
      </c>
      <c r="H120" s="79">
        <v>2040</v>
      </c>
      <c r="I120" s="79">
        <v>2030</v>
      </c>
      <c r="J120" s="78" t="s">
        <v>43</v>
      </c>
      <c r="K120" s="77" t="s">
        <v>43</v>
      </c>
      <c r="L120" s="77">
        <v>1930</v>
      </c>
      <c r="M120" s="84" t="s">
        <v>43</v>
      </c>
      <c r="N120" s="84" t="s">
        <v>43</v>
      </c>
      <c r="O120" s="49">
        <f t="shared" si="28"/>
        <v>3</v>
      </c>
      <c r="Q120" s="49">
        <f t="shared" si="29"/>
        <v>114</v>
      </c>
      <c r="R120" s="52" t="str">
        <f t="shared" si="30"/>
        <v>Tilia x europaea 'Koningslinde'</v>
      </c>
      <c r="S120" s="51">
        <f t="shared" si="31"/>
        <v>148.71444514034522</v>
      </c>
    </row>
    <row r="121" spans="1:19">
      <c r="A121" s="49">
        <v>115</v>
      </c>
      <c r="B121" s="65" t="s">
        <v>255</v>
      </c>
      <c r="C121" s="65" t="s">
        <v>256</v>
      </c>
      <c r="D121" s="66">
        <f t="shared" si="25"/>
        <v>2112.5715</v>
      </c>
      <c r="E121" s="82">
        <f t="shared" si="20"/>
        <v>2261.7980000000002</v>
      </c>
      <c r="F121" s="82">
        <f>N121*$C$2</f>
        <v>2313.2025000000003</v>
      </c>
      <c r="G121" s="79">
        <v>2100</v>
      </c>
      <c r="H121" s="79">
        <v>1895</v>
      </c>
      <c r="I121" s="79">
        <v>2030</v>
      </c>
      <c r="J121" s="79">
        <v>2298</v>
      </c>
      <c r="K121" s="77">
        <v>1890</v>
      </c>
      <c r="L121" s="77" t="s">
        <v>43</v>
      </c>
      <c r="M121" s="83">
        <v>220</v>
      </c>
      <c r="N121" s="83">
        <v>225</v>
      </c>
      <c r="O121" s="49">
        <f t="shared" si="28"/>
        <v>7</v>
      </c>
      <c r="Q121" s="49">
        <f t="shared" si="29"/>
        <v>115</v>
      </c>
      <c r="R121" s="52" t="str">
        <f t="shared" si="30"/>
        <v>Tilia x europaea 'Pallida'</v>
      </c>
      <c r="S121" s="51">
        <f t="shared" si="31"/>
        <v>157.08494922090341</v>
      </c>
    </row>
    <row r="122" spans="1:19">
      <c r="A122" s="49">
        <v>116</v>
      </c>
      <c r="B122" s="65" t="s">
        <v>257</v>
      </c>
      <c r="C122" s="65" t="s">
        <v>258</v>
      </c>
      <c r="D122" s="66">
        <f t="shared" si="25"/>
        <v>2287.5002500000001</v>
      </c>
      <c r="E122" s="82">
        <f t="shared" si="20"/>
        <v>2261.7980000000002</v>
      </c>
      <c r="F122" s="82">
        <f>N122*$C$2</f>
        <v>2313.2025000000003</v>
      </c>
      <c r="G122" s="78" t="s">
        <v>43</v>
      </c>
      <c r="H122" s="77" t="s">
        <v>43</v>
      </c>
      <c r="I122" s="77" t="s">
        <v>43</v>
      </c>
      <c r="J122" s="77" t="s">
        <v>43</v>
      </c>
      <c r="K122" s="77" t="s">
        <v>43</v>
      </c>
      <c r="L122" s="77" t="s">
        <v>43</v>
      </c>
      <c r="M122" s="83">
        <v>220</v>
      </c>
      <c r="N122" s="83">
        <v>225</v>
      </c>
      <c r="O122" s="49">
        <f t="shared" si="28"/>
        <v>2</v>
      </c>
      <c r="Q122" s="49">
        <f t="shared" si="29"/>
        <v>116</v>
      </c>
      <c r="R122" s="52" t="str">
        <f t="shared" si="30"/>
        <v>Ulmus glabra</v>
      </c>
      <c r="S122" s="51">
        <f t="shared" si="31"/>
        <v>170.0921652185755</v>
      </c>
    </row>
    <row r="123" spans="1:19">
      <c r="A123" s="49">
        <v>117</v>
      </c>
      <c r="B123" s="65" t="s">
        <v>259</v>
      </c>
      <c r="C123" s="65" t="s">
        <v>260</v>
      </c>
      <c r="D123" s="66">
        <f t="shared" si="25"/>
        <v>2261.7980000000002</v>
      </c>
      <c r="E123" s="82">
        <f t="shared" si="20"/>
        <v>2261.7980000000002</v>
      </c>
      <c r="F123" s="82"/>
      <c r="G123" s="78" t="s">
        <v>43</v>
      </c>
      <c r="H123" s="77" t="s">
        <v>43</v>
      </c>
      <c r="I123" s="77" t="s">
        <v>43</v>
      </c>
      <c r="J123" s="77" t="s">
        <v>43</v>
      </c>
      <c r="K123" s="77" t="s">
        <v>43</v>
      </c>
      <c r="L123" s="77" t="s">
        <v>43</v>
      </c>
      <c r="M123" s="83">
        <v>220</v>
      </c>
      <c r="N123" s="84" t="s">
        <v>43</v>
      </c>
      <c r="O123" s="49">
        <f t="shared" si="28"/>
        <v>1</v>
      </c>
      <c r="Q123" s="49">
        <f t="shared" si="29"/>
        <v>117</v>
      </c>
      <c r="R123" s="52" t="str">
        <f t="shared" si="30"/>
        <v>Ulmus carpinifolia</v>
      </c>
      <c r="S123" s="51">
        <f t="shared" si="31"/>
        <v>168.18101729477129</v>
      </c>
    </row>
    <row r="124" spans="1:19">
      <c r="A124" s="49">
        <v>118</v>
      </c>
      <c r="B124" s="65" t="s">
        <v>261</v>
      </c>
      <c r="C124" s="65" t="s">
        <v>262</v>
      </c>
      <c r="D124" s="66" t="e">
        <f t="shared" si="25"/>
        <v>#DIV/0!</v>
      </c>
      <c r="E124" s="82"/>
      <c r="F124" s="82"/>
      <c r="G124" s="78" t="s">
        <v>43</v>
      </c>
      <c r="H124" s="77" t="s">
        <v>43</v>
      </c>
      <c r="I124" s="77" t="s">
        <v>43</v>
      </c>
      <c r="J124" s="77" t="s">
        <v>43</v>
      </c>
      <c r="K124" s="77" t="s">
        <v>43</v>
      </c>
      <c r="L124" s="77" t="s">
        <v>43</v>
      </c>
      <c r="M124" s="84" t="s">
        <v>43</v>
      </c>
      <c r="N124" s="84" t="s">
        <v>43</v>
      </c>
      <c r="O124" s="49">
        <f t="shared" si="28"/>
        <v>0</v>
      </c>
      <c r="Q124" s="49">
        <f t="shared" si="29"/>
        <v>118</v>
      </c>
      <c r="R124" s="52" t="str">
        <f t="shared" si="30"/>
        <v>Ulmus glabra x carpinifolia var vegeta</v>
      </c>
      <c r="S124" s="51" t="e">
        <f t="shared" si="31"/>
        <v>#DIV/0!</v>
      </c>
    </row>
    <row r="125" spans="1:19">
      <c r="A125" s="49">
        <v>119</v>
      </c>
      <c r="B125" s="65" t="s">
        <v>263</v>
      </c>
      <c r="C125" s="65" t="s">
        <v>260</v>
      </c>
      <c r="D125" s="66">
        <f t="shared" si="25"/>
        <v>2313.2025000000003</v>
      </c>
      <c r="E125" s="82"/>
      <c r="F125" s="82">
        <f>N125*$C$2</f>
        <v>2313.2025000000003</v>
      </c>
      <c r="G125" s="78" t="s">
        <v>43</v>
      </c>
      <c r="H125" s="77" t="s">
        <v>43</v>
      </c>
      <c r="I125" s="77" t="s">
        <v>43</v>
      </c>
      <c r="J125" s="77" t="s">
        <v>43</v>
      </c>
      <c r="K125" s="77" t="s">
        <v>43</v>
      </c>
      <c r="L125" s="77" t="s">
        <v>43</v>
      </c>
      <c r="M125" s="84" t="s">
        <v>43</v>
      </c>
      <c r="N125" s="83">
        <v>225</v>
      </c>
      <c r="O125" s="49">
        <f t="shared" si="28"/>
        <v>1</v>
      </c>
      <c r="Q125" s="49">
        <f t="shared" si="29"/>
        <v>119</v>
      </c>
      <c r="R125" s="52" t="str">
        <f t="shared" si="30"/>
        <v>Ulmus minor</v>
      </c>
      <c r="S125" s="51">
        <f t="shared" si="31"/>
        <v>172.00331314237974</v>
      </c>
    </row>
    <row r="126" spans="1:19">
      <c r="A126" s="49">
        <v>120</v>
      </c>
      <c r="B126" s="65" t="s">
        <v>264</v>
      </c>
      <c r="C126" s="65" t="s">
        <v>265</v>
      </c>
      <c r="D126" s="66" t="e">
        <f t="shared" si="25"/>
        <v>#DIV/0!</v>
      </c>
      <c r="E126" s="82"/>
      <c r="F126" s="82"/>
      <c r="G126" s="78" t="s">
        <v>43</v>
      </c>
      <c r="H126" s="77" t="s">
        <v>43</v>
      </c>
      <c r="I126" s="77" t="s">
        <v>43</v>
      </c>
      <c r="J126" s="77" t="s">
        <v>43</v>
      </c>
      <c r="K126" s="77" t="s">
        <v>43</v>
      </c>
      <c r="L126" s="77" t="s">
        <v>43</v>
      </c>
      <c r="M126" s="84" t="s">
        <v>43</v>
      </c>
      <c r="N126" s="84" t="s">
        <v>43</v>
      </c>
      <c r="O126" s="49">
        <f t="shared" si="28"/>
        <v>0</v>
      </c>
      <c r="Q126" s="49">
        <f t="shared" si="29"/>
        <v>120</v>
      </c>
      <c r="R126" s="52" t="str">
        <f t="shared" si="30"/>
        <v>Ulmus minor 'Hoersholmiensis'</v>
      </c>
      <c r="S126" s="51" t="e">
        <f t="shared" si="31"/>
        <v>#DIV/0!</v>
      </c>
    </row>
    <row r="127" spans="1:19">
      <c r="A127" s="49">
        <v>121</v>
      </c>
      <c r="B127" s="65" t="s">
        <v>266</v>
      </c>
      <c r="C127" s="65" t="s">
        <v>267</v>
      </c>
      <c r="D127" s="66">
        <f t="shared" si="25"/>
        <v>3397.7417500000001</v>
      </c>
      <c r="E127" s="82"/>
      <c r="F127" s="82">
        <f t="shared" ref="F127:F137" si="32">N127*$C$2</f>
        <v>3238.4835000000003</v>
      </c>
      <c r="G127" s="78" t="s">
        <v>43</v>
      </c>
      <c r="H127" s="77" t="s">
        <v>43</v>
      </c>
      <c r="I127" s="77" t="s">
        <v>43</v>
      </c>
      <c r="J127" s="79">
        <v>3557</v>
      </c>
      <c r="K127" s="77" t="s">
        <v>43</v>
      </c>
      <c r="L127" s="77" t="s">
        <v>43</v>
      </c>
      <c r="M127" s="84" t="s">
        <v>43</v>
      </c>
      <c r="N127" s="83">
        <v>315</v>
      </c>
      <c r="O127" s="49">
        <f t="shared" si="28"/>
        <v>2</v>
      </c>
      <c r="Q127" s="49">
        <f t="shared" si="29"/>
        <v>121</v>
      </c>
      <c r="R127" s="52" t="str">
        <f t="shared" si="30"/>
        <v>Ulmus glabra 'Horizontalis'</v>
      </c>
      <c r="S127" s="51">
        <f t="shared" si="31"/>
        <v>252.64663954071781</v>
      </c>
    </row>
    <row r="128" spans="1:19">
      <c r="A128" s="49">
        <v>122</v>
      </c>
      <c r="B128" s="68"/>
      <c r="C128" s="69"/>
      <c r="D128" s="66">
        <f t="shared" ref="D128:D137" si="33">AVERAGE(E128:L128)</f>
        <v>0</v>
      </c>
      <c r="E128" s="82">
        <f t="shared" ref="E128:E137" si="34">M128*$C$2</f>
        <v>0</v>
      </c>
      <c r="F128" s="82">
        <f t="shared" si="32"/>
        <v>0</v>
      </c>
      <c r="G128" s="80"/>
      <c r="H128" s="80"/>
      <c r="I128" s="80"/>
      <c r="J128" s="80"/>
      <c r="K128" s="80"/>
      <c r="L128" s="80"/>
      <c r="M128" s="89"/>
      <c r="N128" s="89"/>
      <c r="O128" s="49">
        <f t="shared" si="28"/>
        <v>2</v>
      </c>
      <c r="Q128" s="49">
        <f t="shared" ref="Q128:Q137" si="35">A128</f>
        <v>122</v>
      </c>
      <c r="R128" s="52">
        <f t="shared" ref="R128:R137" si="36">B128</f>
        <v>0</v>
      </c>
      <c r="S128" s="51">
        <f t="shared" ref="S128:S137" si="37">D128/$C$3</f>
        <v>0</v>
      </c>
    </row>
    <row r="129" spans="1:19">
      <c r="A129" s="49">
        <v>123</v>
      </c>
      <c r="B129" s="68"/>
      <c r="C129" s="69"/>
      <c r="D129" s="66">
        <f t="shared" si="33"/>
        <v>0</v>
      </c>
      <c r="E129" s="82">
        <f t="shared" si="34"/>
        <v>0</v>
      </c>
      <c r="F129" s="82">
        <f t="shared" si="32"/>
        <v>0</v>
      </c>
      <c r="G129" s="80"/>
      <c r="H129" s="80"/>
      <c r="I129" s="80"/>
      <c r="J129" s="80"/>
      <c r="K129" s="80"/>
      <c r="L129" s="80"/>
      <c r="M129" s="89"/>
      <c r="N129" s="89"/>
      <c r="O129" s="49">
        <f t="shared" si="28"/>
        <v>2</v>
      </c>
      <c r="Q129" s="49">
        <f t="shared" si="35"/>
        <v>123</v>
      </c>
      <c r="R129" s="52">
        <f t="shared" si="36"/>
        <v>0</v>
      </c>
      <c r="S129" s="51">
        <f t="shared" si="37"/>
        <v>0</v>
      </c>
    </row>
    <row r="130" spans="1:19">
      <c r="A130" s="49">
        <v>124</v>
      </c>
      <c r="B130" s="68"/>
      <c r="C130" s="69"/>
      <c r="D130" s="66">
        <f t="shared" si="33"/>
        <v>0</v>
      </c>
      <c r="E130" s="82">
        <f t="shared" si="34"/>
        <v>0</v>
      </c>
      <c r="F130" s="82">
        <f t="shared" si="32"/>
        <v>0</v>
      </c>
      <c r="G130" s="80"/>
      <c r="H130" s="80"/>
      <c r="I130" s="80"/>
      <c r="J130" s="80"/>
      <c r="K130" s="80"/>
      <c r="L130" s="80"/>
      <c r="M130" s="89"/>
      <c r="N130" s="89"/>
      <c r="O130" s="49">
        <f t="shared" si="28"/>
        <v>2</v>
      </c>
      <c r="Q130" s="49">
        <f t="shared" si="35"/>
        <v>124</v>
      </c>
      <c r="R130" s="52">
        <f t="shared" si="36"/>
        <v>0</v>
      </c>
      <c r="S130" s="51">
        <f t="shared" si="37"/>
        <v>0</v>
      </c>
    </row>
    <row r="131" spans="1:19">
      <c r="A131" s="49">
        <v>125</v>
      </c>
      <c r="B131" s="68"/>
      <c r="C131" s="69"/>
      <c r="D131" s="66">
        <f t="shared" si="33"/>
        <v>0</v>
      </c>
      <c r="E131" s="82">
        <f t="shared" si="34"/>
        <v>0</v>
      </c>
      <c r="F131" s="82">
        <f t="shared" si="32"/>
        <v>0</v>
      </c>
      <c r="G131" s="80"/>
      <c r="H131" s="80"/>
      <c r="I131" s="80"/>
      <c r="J131" s="80"/>
      <c r="K131" s="80"/>
      <c r="L131" s="80"/>
      <c r="M131" s="89"/>
      <c r="N131" s="89"/>
      <c r="O131" s="49">
        <f t="shared" si="28"/>
        <v>2</v>
      </c>
      <c r="Q131" s="49">
        <f t="shared" si="35"/>
        <v>125</v>
      </c>
      <c r="R131" s="52">
        <f t="shared" si="36"/>
        <v>0</v>
      </c>
      <c r="S131" s="51">
        <f t="shared" si="37"/>
        <v>0</v>
      </c>
    </row>
    <row r="132" spans="1:19">
      <c r="A132" s="49">
        <v>126</v>
      </c>
      <c r="B132" s="68"/>
      <c r="C132" s="69"/>
      <c r="D132" s="66">
        <f t="shared" si="33"/>
        <v>0</v>
      </c>
      <c r="E132" s="82">
        <f t="shared" si="34"/>
        <v>0</v>
      </c>
      <c r="F132" s="82">
        <f t="shared" si="32"/>
        <v>0</v>
      </c>
      <c r="G132" s="80"/>
      <c r="H132" s="80"/>
      <c r="I132" s="80"/>
      <c r="J132" s="80"/>
      <c r="K132" s="80"/>
      <c r="L132" s="80"/>
      <c r="M132" s="89"/>
      <c r="N132" s="89"/>
      <c r="O132" s="49">
        <f t="shared" si="28"/>
        <v>2</v>
      </c>
      <c r="Q132" s="49">
        <f t="shared" si="35"/>
        <v>126</v>
      </c>
      <c r="R132" s="52">
        <f t="shared" si="36"/>
        <v>0</v>
      </c>
      <c r="S132" s="51">
        <f t="shared" si="37"/>
        <v>0</v>
      </c>
    </row>
    <row r="133" spans="1:19">
      <c r="A133" s="49">
        <v>127</v>
      </c>
      <c r="B133" s="68"/>
      <c r="C133" s="69"/>
      <c r="D133" s="66">
        <f t="shared" si="33"/>
        <v>0</v>
      </c>
      <c r="E133" s="82">
        <f t="shared" si="34"/>
        <v>0</v>
      </c>
      <c r="F133" s="82">
        <f t="shared" si="32"/>
        <v>0</v>
      </c>
      <c r="G133" s="80"/>
      <c r="H133" s="80"/>
      <c r="I133" s="80"/>
      <c r="J133" s="80"/>
      <c r="K133" s="80"/>
      <c r="L133" s="80"/>
      <c r="M133" s="89"/>
      <c r="N133" s="89"/>
      <c r="O133" s="49">
        <f t="shared" si="28"/>
        <v>2</v>
      </c>
      <c r="Q133" s="49">
        <f t="shared" si="35"/>
        <v>127</v>
      </c>
      <c r="R133" s="52">
        <f t="shared" si="36"/>
        <v>0</v>
      </c>
      <c r="S133" s="51">
        <f t="shared" si="37"/>
        <v>0</v>
      </c>
    </row>
    <row r="134" spans="1:19">
      <c r="A134" s="49">
        <v>128</v>
      </c>
      <c r="B134" s="68"/>
      <c r="C134" s="69"/>
      <c r="D134" s="66">
        <f t="shared" si="33"/>
        <v>0</v>
      </c>
      <c r="E134" s="82">
        <f t="shared" si="34"/>
        <v>0</v>
      </c>
      <c r="F134" s="82">
        <f t="shared" si="32"/>
        <v>0</v>
      </c>
      <c r="G134" s="80"/>
      <c r="H134" s="80"/>
      <c r="I134" s="80"/>
      <c r="J134" s="80"/>
      <c r="K134" s="80"/>
      <c r="L134" s="80"/>
      <c r="M134" s="89"/>
      <c r="N134" s="89"/>
      <c r="O134" s="49">
        <f t="shared" si="28"/>
        <v>2</v>
      </c>
      <c r="Q134" s="49">
        <f t="shared" si="35"/>
        <v>128</v>
      </c>
      <c r="R134" s="52">
        <f t="shared" si="36"/>
        <v>0</v>
      </c>
      <c r="S134" s="51">
        <f t="shared" si="37"/>
        <v>0</v>
      </c>
    </row>
    <row r="135" spans="1:19">
      <c r="A135" s="49">
        <v>129</v>
      </c>
      <c r="B135" s="68"/>
      <c r="C135" s="69"/>
      <c r="D135" s="66">
        <f t="shared" si="33"/>
        <v>0</v>
      </c>
      <c r="E135" s="82">
        <f t="shared" si="34"/>
        <v>0</v>
      </c>
      <c r="F135" s="82">
        <f t="shared" si="32"/>
        <v>0</v>
      </c>
      <c r="G135" s="80"/>
      <c r="H135" s="80"/>
      <c r="I135" s="80"/>
      <c r="J135" s="80"/>
      <c r="K135" s="80"/>
      <c r="L135" s="80"/>
      <c r="M135" s="89"/>
      <c r="N135" s="89"/>
      <c r="O135" s="49">
        <f t="shared" si="28"/>
        <v>2</v>
      </c>
      <c r="Q135" s="49">
        <f t="shared" si="35"/>
        <v>129</v>
      </c>
      <c r="R135" s="52">
        <f t="shared" si="36"/>
        <v>0</v>
      </c>
      <c r="S135" s="51">
        <f t="shared" si="37"/>
        <v>0</v>
      </c>
    </row>
    <row r="136" spans="1:19">
      <c r="A136" s="49">
        <v>130</v>
      </c>
      <c r="B136" s="68"/>
      <c r="C136" s="69"/>
      <c r="D136" s="66">
        <f t="shared" si="33"/>
        <v>0</v>
      </c>
      <c r="E136" s="82">
        <f t="shared" si="34"/>
        <v>0</v>
      </c>
      <c r="F136" s="82">
        <f t="shared" si="32"/>
        <v>0</v>
      </c>
      <c r="G136" s="80"/>
      <c r="H136" s="80"/>
      <c r="I136" s="80"/>
      <c r="J136" s="80"/>
      <c r="K136" s="80"/>
      <c r="L136" s="80"/>
      <c r="M136" s="89"/>
      <c r="N136" s="89"/>
      <c r="O136" s="49">
        <f t="shared" si="28"/>
        <v>2</v>
      </c>
      <c r="Q136" s="49">
        <f t="shared" si="35"/>
        <v>130</v>
      </c>
      <c r="R136" s="52">
        <f t="shared" si="36"/>
        <v>0</v>
      </c>
      <c r="S136" s="51">
        <f t="shared" si="37"/>
        <v>0</v>
      </c>
    </row>
    <row r="137" spans="1:19">
      <c r="A137" s="49">
        <v>131</v>
      </c>
      <c r="B137" s="68"/>
      <c r="C137" s="69"/>
      <c r="D137" s="66">
        <f t="shared" si="33"/>
        <v>0</v>
      </c>
      <c r="E137" s="82">
        <f t="shared" si="34"/>
        <v>0</v>
      </c>
      <c r="F137" s="82">
        <f t="shared" si="32"/>
        <v>0</v>
      </c>
      <c r="G137" s="80"/>
      <c r="H137" s="80"/>
      <c r="I137" s="80"/>
      <c r="J137" s="80"/>
      <c r="K137" s="80"/>
      <c r="L137" s="80"/>
      <c r="M137" s="89"/>
      <c r="N137" s="89"/>
      <c r="O137" s="49">
        <f t="shared" si="28"/>
        <v>2</v>
      </c>
      <c r="Q137" s="49">
        <f t="shared" si="35"/>
        <v>131</v>
      </c>
      <c r="R137" s="52">
        <f t="shared" si="36"/>
        <v>0</v>
      </c>
      <c r="S137" s="51">
        <f t="shared" si="37"/>
        <v>0</v>
      </c>
    </row>
  </sheetData>
  <hyperlinks>
    <hyperlink ref="B2" r:id="rId1" display="Pris för 1 euro enligt Riksbanken" xr:uid="{00000000-0004-0000-0100-000000000000}"/>
  </hyperlinks>
  <pageMargins left="0.7" right="0.7" top="1.1437007874015748" bottom="1.1437007874015748" header="0.75" footer="0.75"/>
  <pageSetup paperSize="9" fitToWidth="0" fitToHeight="0"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2:H40"/>
  <sheetViews>
    <sheetView tabSelected="1" workbookViewId="0">
      <selection activeCell="G12" sqref="G12"/>
    </sheetView>
  </sheetViews>
  <sheetFormatPr defaultRowHeight="14.25"/>
  <cols>
    <col min="1" max="1" width="1.625" customWidth="1"/>
    <col min="2" max="2" width="5.125" customWidth="1"/>
    <col min="3" max="3" width="23.625" customWidth="1"/>
    <col min="4" max="4" width="12" customWidth="1"/>
    <col min="5" max="5" width="6.875" customWidth="1"/>
    <col min="6" max="6" width="7.875" bestFit="1" customWidth="1"/>
    <col min="7" max="7" width="21.125" customWidth="1"/>
  </cols>
  <sheetData>
    <row r="2" spans="1:8" ht="23.25">
      <c r="A2" s="7"/>
      <c r="B2" s="8" t="s">
        <v>268</v>
      </c>
      <c r="C2" s="7"/>
      <c r="D2" s="7"/>
      <c r="E2" s="7"/>
      <c r="F2" s="7"/>
      <c r="G2" s="7"/>
      <c r="H2" s="7"/>
    </row>
    <row r="4" spans="1:8">
      <c r="B4" t="s">
        <v>269</v>
      </c>
    </row>
    <row r="6" spans="1:8" ht="18.75">
      <c r="A6" s="9"/>
      <c r="B6" s="10" t="s">
        <v>270</v>
      </c>
      <c r="C6" s="9"/>
      <c r="D6" s="9"/>
      <c r="E6" s="9"/>
      <c r="F6" s="9"/>
      <c r="G6" s="9"/>
    </row>
    <row r="7" spans="1:8">
      <c r="C7" s="11" t="s">
        <v>271</v>
      </c>
      <c r="D7" s="12">
        <f>EUR</f>
        <v>10.280900000000001</v>
      </c>
      <c r="E7" t="s">
        <v>272</v>
      </c>
      <c r="F7" s="13"/>
    </row>
    <row r="8" spans="1:8">
      <c r="C8" s="11" t="s">
        <v>273</v>
      </c>
      <c r="D8" s="90" t="s">
        <v>51</v>
      </c>
      <c r="E8" s="91"/>
      <c r="F8" s="91"/>
      <c r="G8" s="92"/>
    </row>
    <row r="9" spans="1:8">
      <c r="C9" s="14" t="s">
        <v>274</v>
      </c>
      <c r="D9" s="53">
        <f>VLOOKUP(D8,Formler!B7:D115,3,)</f>
        <v>2098.750125</v>
      </c>
      <c r="E9" t="s">
        <v>272</v>
      </c>
    </row>
    <row r="10" spans="1:8">
      <c r="C10" s="14" t="s">
        <v>275</v>
      </c>
      <c r="D10" s="15">
        <f>13/PI()</f>
        <v>4.1380285203892786</v>
      </c>
      <c r="E10" t="s">
        <v>276</v>
      </c>
    </row>
    <row r="11" spans="1:8">
      <c r="C11" s="14" t="s">
        <v>277</v>
      </c>
      <c r="D11" s="15">
        <f>PI()*(diam1214/2)*(diam1214/2)</f>
        <v>13.448592691265153</v>
      </c>
      <c r="E11" t="s">
        <v>278</v>
      </c>
    </row>
    <row r="12" spans="1:8">
      <c r="C12" s="14" t="s">
        <v>279</v>
      </c>
      <c r="D12" s="15">
        <f>basvärde/area1214</f>
        <v>156.05723016380264</v>
      </c>
      <c r="E12" t="s">
        <v>272</v>
      </c>
    </row>
    <row r="13" spans="1:8">
      <c r="B13" s="16" t="s">
        <v>280</v>
      </c>
    </row>
    <row r="14" spans="1:8">
      <c r="C14" s="14" t="s">
        <v>281</v>
      </c>
      <c r="D14" s="21">
        <v>95</v>
      </c>
      <c r="E14" t="s">
        <v>276</v>
      </c>
    </row>
    <row r="15" spans="1:8">
      <c r="C15" s="14" t="s">
        <v>282</v>
      </c>
      <c r="D15" s="15">
        <f>(Stamomkrets*Stamomkrets)/(4*PI())</f>
        <v>718.18668070217768</v>
      </c>
      <c r="E15" t="s">
        <v>278</v>
      </c>
    </row>
    <row r="16" spans="1:8" ht="15">
      <c r="C16" s="14" t="s">
        <v>283</v>
      </c>
      <c r="D16" s="17">
        <f>kvadratcmpris*Area</f>
        <v>112078.22413091718</v>
      </c>
      <c r="E16" t="s">
        <v>272</v>
      </c>
    </row>
    <row r="18" spans="1:7" ht="18.75">
      <c r="A18" s="18"/>
      <c r="B18" s="19" t="s">
        <v>284</v>
      </c>
      <c r="C18" s="18"/>
      <c r="D18" s="18"/>
      <c r="E18" s="18"/>
      <c r="F18" s="18"/>
      <c r="G18" s="18"/>
    </row>
    <row r="19" spans="1:7">
      <c r="C19" s="20" t="s">
        <v>13</v>
      </c>
      <c r="D19" s="21">
        <v>4</v>
      </c>
    </row>
    <row r="20" spans="1:7">
      <c r="C20" s="20" t="s">
        <v>285</v>
      </c>
      <c r="D20" s="21">
        <v>4</v>
      </c>
    </row>
    <row r="21" spans="1:7">
      <c r="C21" s="20" t="s">
        <v>286</v>
      </c>
      <c r="D21" s="21">
        <v>4</v>
      </c>
    </row>
    <row r="22" spans="1:7">
      <c r="C22" s="20" t="s">
        <v>287</v>
      </c>
      <c r="D22" s="21">
        <v>4</v>
      </c>
    </row>
    <row r="23" spans="1:7" ht="15">
      <c r="C23" s="20" t="s">
        <v>288</v>
      </c>
      <c r="D23" s="22">
        <f>SUM(D19:D22)/16</f>
        <v>1</v>
      </c>
    </row>
    <row r="25" spans="1:7" ht="18.75">
      <c r="A25" s="23"/>
      <c r="B25" s="24" t="s">
        <v>289</v>
      </c>
      <c r="C25" s="23"/>
      <c r="D25" s="23"/>
      <c r="E25" s="23"/>
      <c r="F25" s="23"/>
      <c r="G25" s="23"/>
    </row>
    <row r="26" spans="1:7">
      <c r="C26" s="25" t="s">
        <v>290</v>
      </c>
      <c r="D26" s="26">
        <v>70</v>
      </c>
      <c r="E26" s="27" t="s">
        <v>272</v>
      </c>
    </row>
    <row r="27" spans="1:7">
      <c r="C27" s="28" t="s">
        <v>291</v>
      </c>
      <c r="D27" s="29">
        <v>20000</v>
      </c>
      <c r="E27" s="30" t="s">
        <v>272</v>
      </c>
    </row>
    <row r="28" spans="1:7">
      <c r="C28" s="28" t="s">
        <v>292</v>
      </c>
      <c r="D28" s="29">
        <v>10000</v>
      </c>
      <c r="E28" t="s">
        <v>272</v>
      </c>
    </row>
    <row r="29" spans="1:7">
      <c r="B29" t="s">
        <v>280</v>
      </c>
    </row>
    <row r="30" spans="1:7">
      <c r="C30" s="28" t="s">
        <v>293</v>
      </c>
      <c r="D30" s="31" t="s">
        <v>294</v>
      </c>
    </row>
    <row r="31" spans="1:7" ht="15" customHeight="1">
      <c r="C31" s="93" t="s">
        <v>295</v>
      </c>
      <c r="D31" s="93"/>
      <c r="E31" s="93"/>
      <c r="F31" s="32">
        <f>MIN(Area*Kostnad_per_kvcm_etabl+gatuträdetabl,85000)</f>
        <v>70273.067649152435</v>
      </c>
      <c r="G31" t="s">
        <v>272</v>
      </c>
    </row>
    <row r="32" spans="1:7" ht="15" customHeight="1">
      <c r="C32" s="93" t="s">
        <v>296</v>
      </c>
      <c r="D32" s="93"/>
      <c r="E32" s="93"/>
      <c r="F32" s="32">
        <f>MIN(Area*Kostnad_per_kvcm_etabl+övrigmarketabl,75000)</f>
        <v>60273.067649152435</v>
      </c>
      <c r="G32" t="s">
        <v>272</v>
      </c>
    </row>
    <row r="34" spans="1:7" ht="18.75">
      <c r="A34" s="33"/>
      <c r="B34" s="34" t="s">
        <v>297</v>
      </c>
      <c r="C34" s="33"/>
      <c r="D34" s="33"/>
      <c r="E34" s="33"/>
      <c r="F34" s="33"/>
      <c r="G34" s="33"/>
    </row>
    <row r="35" spans="1:7" ht="15">
      <c r="C35" s="35" t="s">
        <v>283</v>
      </c>
      <c r="D35" s="36">
        <f>Trädets_värde</f>
        <v>112078.22413091718</v>
      </c>
      <c r="E35" s="37" t="s">
        <v>272</v>
      </c>
    </row>
    <row r="36" spans="1:7" ht="15">
      <c r="C36" s="38" t="s">
        <v>298</v>
      </c>
      <c r="D36" s="39">
        <f>skadorvitalitet</f>
        <v>1</v>
      </c>
    </row>
    <row r="37" spans="1:7" ht="15">
      <c r="C37" s="40" t="s">
        <v>299</v>
      </c>
      <c r="D37" s="41">
        <f>IF(D30="gatuträd",F31,F32)</f>
        <v>60273.067649152435</v>
      </c>
      <c r="E37" s="40" t="s">
        <v>272</v>
      </c>
    </row>
    <row r="38" spans="1:7" ht="15.75">
      <c r="C38" s="42" t="s">
        <v>300</v>
      </c>
      <c r="D38" s="43">
        <f>Trädets_värde*summaskador+planteringetableringkostnad</f>
        <v>172351.29178006962</v>
      </c>
      <c r="E38" s="44" t="s">
        <v>272</v>
      </c>
    </row>
    <row r="40" spans="1:7">
      <c r="B40" s="45" t="s">
        <v>301</v>
      </c>
    </row>
  </sheetData>
  <mergeCells count="3">
    <mergeCell ref="D8:G8"/>
    <mergeCell ref="C31:E31"/>
    <mergeCell ref="C32:E3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3A1CB5C6D3A6540A65899E44DB8DFCA" ma:contentTypeVersion="6" ma:contentTypeDescription="Skapa ett nytt dokument." ma:contentTypeScope="" ma:versionID="20c8ce0d028c16a9b25de646dfc3f283">
  <xsd:schema xmlns:xsd="http://www.w3.org/2001/XMLSchema" xmlns:xs="http://www.w3.org/2001/XMLSchema" xmlns:p="http://schemas.microsoft.com/office/2006/metadata/properties" xmlns:ns2="4d0032dd-2aa0-48c5-9be9-a433f3c03e89" xmlns:ns3="e3cdfe8f-f4a9-4b1a-97eb-355ad41263dc" targetNamespace="http://schemas.microsoft.com/office/2006/metadata/properties" ma:root="true" ma:fieldsID="de623e96fdd2113a2b80eb15f17b63a7" ns2:_="" ns3:_="">
    <xsd:import namespace="4d0032dd-2aa0-48c5-9be9-a433f3c03e89"/>
    <xsd:import namespace="e3cdfe8f-f4a9-4b1a-97eb-355ad41263d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032dd-2aa0-48c5-9be9-a433f3c03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dfe8f-f4a9-4b1a-97eb-355ad41263dc"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8C1534-D25C-4D1F-9FA2-9AFEC69D4E8A}"/>
</file>

<file path=customXml/itemProps2.xml><?xml version="1.0" encoding="utf-8"?>
<ds:datastoreItem xmlns:ds="http://schemas.openxmlformats.org/officeDocument/2006/customXml" ds:itemID="{EB526AAA-38F1-416C-99C5-44ED794AC4DB}"/>
</file>

<file path=customXml/itemProps3.xml><?xml version="1.0" encoding="utf-8"?>
<ds:datastoreItem xmlns:ds="http://schemas.openxmlformats.org/officeDocument/2006/customXml" ds:itemID="{3A4A58E8-BF91-4762-AE4F-3A3B48B9E0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dc:creator>
  <cp:keywords/>
  <dc:description/>
  <cp:lastModifiedBy>Carola Rubinsson</cp:lastModifiedBy>
  <cp:revision>2</cp:revision>
  <dcterms:created xsi:type="dcterms:W3CDTF">2012-06-10T08:34:30Z</dcterms:created>
  <dcterms:modified xsi:type="dcterms:W3CDTF">2025-03-28T09:13:46Z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0x010100D3A1CB5C6D3A6540A65899E44DB8DFCA</vt:lpwstr>
  </property>
</Properties>
</file>